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5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7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8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9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blair\Documents\Milton\IRs\"/>
    </mc:Choice>
  </mc:AlternateContent>
  <xr:revisionPtr revIDLastSave="0" documentId="13_ncr:1_{AEF47D53-539F-4B8D-BB46-0E5D4DAF3EF0}" xr6:coauthVersionLast="47" xr6:coauthVersionMax="47" xr10:uidLastSave="{00000000-0000-0000-0000-000000000000}"/>
  <bookViews>
    <workbookView xWindow="-120" yWindow="-120" windowWidth="29040" windowHeight="15840" tabRatio="900" activeTab="5" xr2:uid="{00000000-000D-0000-FFFF-FFFF00000000}"/>
  </bookViews>
  <sheets>
    <sheet name="GS &lt; 50 kW" sheetId="37" r:id="rId1"/>
    <sheet name="GS &gt; 50 kW" sheetId="22" r:id="rId2"/>
    <sheet name="Rate Class Energy Model" sheetId="9" r:id="rId3"/>
    <sheet name="Rate Class Customer Model" sheetId="17" r:id="rId4"/>
    <sheet name="Rate Class Load Model" sheetId="18" r:id="rId5"/>
    <sheet name="Summary" sheetId="11" r:id="rId6"/>
    <sheet name="GS &lt; 50 kW (WN)" sheetId="45" r:id="rId7"/>
    <sheet name="GS &gt; 50 kW (WN)" sheetId="46" r:id="rId8"/>
    <sheet name="GS &lt; 50 kW (WN) Trend" sheetId="58" r:id="rId9"/>
    <sheet name="GS &gt; 50 kW (WN) Trend" sheetId="59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CAP1000">#REF!</definedName>
    <definedName name="__OP1000">#REF!</definedName>
    <definedName name="_110">#REF!</definedName>
    <definedName name="_110INPT">#REF!</definedName>
    <definedName name="_115">#REF!</definedName>
    <definedName name="_115INPT">#REF!</definedName>
    <definedName name="_120">#REF!</definedName>
    <definedName name="_140">#REF!</definedName>
    <definedName name="_140INPT">#REF!</definedName>
    <definedName name="_CAP1000">#REF!</definedName>
    <definedName name="_Fill" hidden="1">'[1]Old MEA Statistics'!$B$250</definedName>
    <definedName name="_OP1000">#REF!</definedName>
    <definedName name="_Order1" hidden="1">255</definedName>
    <definedName name="_Order2" hidden="1">0</definedName>
    <definedName name="_Sort" hidden="1">[2]Sheet1!$G$40:$K$40</definedName>
    <definedName name="ALL">#REF!</definedName>
    <definedName name="ApprovedYr">'[3]Z1.ModelVariables'!$C$12</definedName>
    <definedName name="CAfile">[4]Refs!$B$2</definedName>
    <definedName name="CAPCOSTS">#REF!</definedName>
    <definedName name="CAPITAL">#REF!</definedName>
    <definedName name="CapitalExpListing">#REF!</definedName>
    <definedName name="CArevReq">[4]Refs!$B$6</definedName>
    <definedName name="CASHFLOW">#REF!</definedName>
    <definedName name="cc">#REF!</definedName>
    <definedName name="ClassRange1">[4]Refs!$B$3</definedName>
    <definedName name="ClassRange2">[4]Refs!$B$4</definedName>
    <definedName name="contactf">#REF!</definedName>
    <definedName name="_xlnm.Criteria">#REF!</definedName>
    <definedName name="CRLF">'[3]Z1.ModelVariables'!$C$10</definedName>
    <definedName name="_xlnm.Database">#REF!</definedName>
    <definedName name="DaysInPreviousYear">'[5]Distribution Revenue by Source'!$B$22</definedName>
    <definedName name="DaysInYear">'[5]Distribution Revenue by Source'!$B$21</definedName>
    <definedName name="DEBTREPAY">#REF!</definedName>
    <definedName name="DeptDiv">#REF!</definedName>
    <definedName name="ExpenseAccountListing">#REF!</definedName>
    <definedName name="_xlnm.Extract">#REF!</definedName>
    <definedName name="FakeBlank">'[3]Z1.ModelVariables'!$C$14</definedName>
    <definedName name="FolderPath">[4]Menu!$C$8</definedName>
    <definedName name="histdate">[6]Financials!$E$76</definedName>
    <definedName name="Incr2000">#REF!</definedName>
    <definedName name="INTERIM">#REF!</definedName>
    <definedName name="LIMIT">#REF!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t_beg_bud">#REF!</definedName>
    <definedName name="mat_end_bud">#REF!</definedName>
    <definedName name="mat12ACT">#REF!</definedName>
    <definedName name="MATBUD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mea">#REF!</definedName>
    <definedName name="MEABAL">#REF!</definedName>
    <definedName name="MEACASH">#REF!</definedName>
    <definedName name="MEAEQITY">#REF!</definedName>
    <definedName name="MEAOP">#REF!</definedName>
    <definedName name="MofF">#REF!</definedName>
    <definedName name="NewRevReq">[4]Refs!$B$8</definedName>
    <definedName name="NOTES">#REF!</definedName>
    <definedName name="OPERATING">#REF!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NYbud">#REF!</definedName>
    <definedName name="othPYACT">#REF!</definedName>
    <definedName name="OTHSTART">#REF!</definedName>
    <definedName name="PAGE11">#REF!</definedName>
    <definedName name="PAGE2">[2]Sheet1!$A$1:$I$40</definedName>
    <definedName name="PAGE3">#REF!</definedName>
    <definedName name="PAGE4">#REF!</definedName>
    <definedName name="PAGE7">#REF!</definedName>
    <definedName name="PAGE9">#REF!</definedName>
    <definedName name="PageOne">#REF!</definedName>
    <definedName name="PR">#REF!</definedName>
    <definedName name="_xlnm.Print_Area" localSheetId="0">'GS &lt; 50 kW'!$Q$144:$S$179</definedName>
    <definedName name="_xlnm.Print_Area" localSheetId="6">'GS &lt; 50 kW (WN)'!$S$144:$U$179</definedName>
    <definedName name="_xlnm.Print_Area" localSheetId="8">'GS &lt; 50 kW (WN) Trend'!$S$144:$U$179</definedName>
    <definedName name="_xlnm.Print_Area" localSheetId="1">'GS &gt; 50 kW'!$Q$159:$S$179</definedName>
    <definedName name="_xlnm.Print_Area" localSheetId="7">'GS &gt; 50 kW (WN)'!$S$159:$U$179</definedName>
    <definedName name="_xlnm.Print_Area" localSheetId="9">'GS &gt; 50 kW (WN) Trend'!$S$159:$U$179</definedName>
    <definedName name="_xlnm.Print_Area" localSheetId="3">'Rate Class Customer Model'!$A$1:$AC$86</definedName>
    <definedName name="_xlnm.Print_Area" localSheetId="2">'Rate Class Energy Model'!$A$1:$N$43</definedName>
    <definedName name="_xlnm.Print_Area" localSheetId="4">'Rate Class Load Model'!$A$1:$H$37</definedName>
    <definedName name="_xlnm.Print_Area" localSheetId="5">Summary!$A$1:$O$62</definedName>
    <definedName name="Print_Area_MI">#REF!</definedName>
    <definedName name="print_end">#REF!</definedName>
    <definedName name="PRIOR">#REF!</definedName>
    <definedName name="Ratebase">'[5]Distribution Revenue by Source'!$C$25</definedName>
    <definedName name="Res_X" localSheetId="0">'GS &lt; 50 kW'!$G$2:$K$110</definedName>
    <definedName name="Res_X" localSheetId="6">'GS &lt; 50 kW (WN)'!$G$2:$M$110</definedName>
    <definedName name="Res_X" localSheetId="8">'GS &lt; 50 kW (WN) Trend'!$G$2:$M$110</definedName>
    <definedName name="Res_X">[7]Residential!$G$2:$I$110</definedName>
    <definedName name="res_y" localSheetId="0">'GS &lt; 50 kW'!$F$3:$F$110</definedName>
    <definedName name="res_y" localSheetId="6">'GS &lt; 50 kW (WN)'!$F$3:$F$110</definedName>
    <definedName name="res_y" localSheetId="8">'GS &lt; 50 kW (WN) Trend'!$F$3:$F$110</definedName>
    <definedName name="res_y">[7]Residential!$F$3:$F$110</definedName>
    <definedName name="RevReqLookupKey">[4]Refs!$B$5</definedName>
    <definedName name="RevReqRange">[4]Refs!$B$7</definedName>
    <definedName name="RVCASHPR">#REF!</definedName>
    <definedName name="SALBENF">#REF!</definedName>
    <definedName name="salreg">#REF!</definedName>
    <definedName name="SALREGF">#REF!</definedName>
    <definedName name="SOURCEAPP">#REF!</definedName>
    <definedName name="STATS1">#REF!</definedName>
    <definedName name="STATS2">#REF!</definedName>
    <definedName name="Surtax">#REF!</definedName>
    <definedName name="TEMPA">#REF!</definedName>
    <definedName name="TestYr">'[3]A1.Admin'!$C$13</definedName>
    <definedName name="TestYrPL">'[8]Revenue Requirement'!$B$10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OTCAPADDITIONS">#REF!</definedName>
    <definedName name="TRANBUD">#REF!</definedName>
    <definedName name="TRANEND">#REF!</definedName>
    <definedName name="TRANSCAP">#REF!</definedName>
    <definedName name="TRANSFER">#REF!</definedName>
    <definedName name="transportation_costs">#REF!</definedName>
    <definedName name="TRANSTART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Utility">[6]Financials!$A$1</definedName>
    <definedName name="utitliy1">[9]Financials!$A$1</definedName>
    <definedName name="WAGBENF">#REF!</definedName>
    <definedName name="wagdob">#REF!</definedName>
    <definedName name="wagdobf">#REF!</definedName>
    <definedName name="wagreg">#REF!</definedName>
    <definedName name="wagregf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17" l="1"/>
  <c r="H60" i="17"/>
  <c r="I62" i="17"/>
  <c r="I63" i="17" s="1"/>
  <c r="I64" i="17" s="1"/>
  <c r="I65" i="17" s="1"/>
  <c r="I66" i="17" s="1"/>
  <c r="I67" i="17" s="1"/>
  <c r="I68" i="17" s="1"/>
  <c r="I69" i="17" s="1"/>
  <c r="I70" i="17" s="1"/>
  <c r="I71" i="17" s="1"/>
  <c r="I72" i="17" s="1"/>
  <c r="I73" i="17" s="1"/>
  <c r="I74" i="17" s="1"/>
  <c r="I75" i="17" s="1"/>
  <c r="I76" i="17" s="1"/>
  <c r="I77" i="17" s="1"/>
  <c r="I78" i="17" s="1"/>
  <c r="I79" i="17" s="1"/>
  <c r="I80" i="17" s="1"/>
  <c r="I81" i="17" s="1"/>
  <c r="I82" i="17" s="1"/>
  <c r="I83" i="17" s="1"/>
  <c r="I61" i="17"/>
  <c r="F62" i="17"/>
  <c r="F63" i="17" s="1"/>
  <c r="F64" i="17" s="1"/>
  <c r="F65" i="17" s="1"/>
  <c r="F66" i="17" s="1"/>
  <c r="F67" i="17" s="1"/>
  <c r="F68" i="17" s="1"/>
  <c r="F69" i="17" s="1"/>
  <c r="F70" i="17" s="1"/>
  <c r="F71" i="17" s="1"/>
  <c r="F72" i="17" s="1"/>
  <c r="F73" i="17" s="1"/>
  <c r="F74" i="17" s="1"/>
  <c r="F75" i="17" s="1"/>
  <c r="F76" i="17" s="1"/>
  <c r="F77" i="17" s="1"/>
  <c r="F78" i="17" s="1"/>
  <c r="F79" i="17" s="1"/>
  <c r="F80" i="17" s="1"/>
  <c r="F81" i="17" s="1"/>
  <c r="F82" i="17" s="1"/>
  <c r="F83" i="17" s="1"/>
  <c r="F61" i="17"/>
  <c r="I28" i="17"/>
  <c r="I60" i="17" s="1"/>
  <c r="I26" i="17"/>
  <c r="F60" i="17"/>
  <c r="F28" i="17"/>
  <c r="AB4" i="17"/>
  <c r="AB5" i="17"/>
  <c r="AB6" i="17"/>
  <c r="AB7" i="17"/>
  <c r="AB8" i="17"/>
  <c r="AB9" i="17"/>
  <c r="AB10" i="17"/>
  <c r="AB11" i="17"/>
  <c r="AB12" i="17"/>
  <c r="AB13" i="17"/>
  <c r="AB14" i="17"/>
  <c r="A169" i="59" l="1"/>
  <c r="A168" i="59"/>
  <c r="C158" i="59"/>
  <c r="B158" i="59"/>
  <c r="C157" i="59"/>
  <c r="B157" i="59"/>
  <c r="C156" i="59"/>
  <c r="B156" i="59"/>
  <c r="C155" i="59"/>
  <c r="B155" i="59"/>
  <c r="C154" i="59"/>
  <c r="B154" i="59"/>
  <c r="C153" i="59"/>
  <c r="B153" i="59"/>
  <c r="K152" i="59"/>
  <c r="C152" i="59"/>
  <c r="B152" i="59"/>
  <c r="C151" i="59"/>
  <c r="B151" i="59"/>
  <c r="C150" i="59"/>
  <c r="B150" i="59"/>
  <c r="C149" i="59"/>
  <c r="B149" i="59"/>
  <c r="K148" i="59"/>
  <c r="C148" i="59"/>
  <c r="B148" i="59"/>
  <c r="C147" i="59"/>
  <c r="B147" i="59"/>
  <c r="C146" i="59"/>
  <c r="B146" i="59"/>
  <c r="C145" i="59"/>
  <c r="B145" i="59"/>
  <c r="C144" i="59"/>
  <c r="B144" i="59"/>
  <c r="C143" i="59"/>
  <c r="B143" i="59"/>
  <c r="C142" i="59"/>
  <c r="B142" i="59"/>
  <c r="C141" i="59"/>
  <c r="B141" i="59"/>
  <c r="C140" i="59"/>
  <c r="B140" i="59"/>
  <c r="C139" i="59"/>
  <c r="B139" i="59"/>
  <c r="C138" i="59"/>
  <c r="B138" i="59"/>
  <c r="C137" i="59"/>
  <c r="B137" i="59"/>
  <c r="C136" i="59"/>
  <c r="B136" i="59"/>
  <c r="L135" i="59"/>
  <c r="C135" i="59"/>
  <c r="B135" i="59"/>
  <c r="C134" i="59"/>
  <c r="B134" i="59"/>
  <c r="C133" i="59"/>
  <c r="B133" i="59"/>
  <c r="C132" i="59"/>
  <c r="B132" i="59"/>
  <c r="C131" i="59"/>
  <c r="B131" i="59"/>
  <c r="C130" i="59"/>
  <c r="B130" i="59"/>
  <c r="C129" i="59"/>
  <c r="B129" i="59"/>
  <c r="C128" i="59"/>
  <c r="B128" i="59"/>
  <c r="C127" i="59"/>
  <c r="B127" i="59"/>
  <c r="C126" i="59"/>
  <c r="B126" i="59"/>
  <c r="C125" i="59"/>
  <c r="B125" i="59"/>
  <c r="C124" i="59"/>
  <c r="B124" i="59"/>
  <c r="C123" i="59"/>
  <c r="B123" i="59"/>
  <c r="C122" i="59"/>
  <c r="B122" i="59"/>
  <c r="C121" i="59"/>
  <c r="B121" i="59"/>
  <c r="C120" i="59"/>
  <c r="B120" i="59"/>
  <c r="C119" i="59"/>
  <c r="B119" i="59"/>
  <c r="C118" i="59"/>
  <c r="B118" i="59"/>
  <c r="C117" i="59"/>
  <c r="B117" i="59"/>
  <c r="C116" i="59"/>
  <c r="B116" i="59"/>
  <c r="C115" i="59"/>
  <c r="B115" i="59"/>
  <c r="C114" i="59"/>
  <c r="B114" i="59"/>
  <c r="C113" i="59"/>
  <c r="B113" i="59"/>
  <c r="C112" i="59"/>
  <c r="B112" i="59"/>
  <c r="C111" i="59"/>
  <c r="B111" i="59"/>
  <c r="K158" i="59"/>
  <c r="C110" i="59"/>
  <c r="B110" i="59"/>
  <c r="K157" i="59"/>
  <c r="C109" i="59"/>
  <c r="B109" i="59"/>
  <c r="K156" i="59"/>
  <c r="C108" i="59"/>
  <c r="B108" i="59"/>
  <c r="K155" i="59"/>
  <c r="C107" i="59"/>
  <c r="B107" i="59"/>
  <c r="K154" i="59"/>
  <c r="C106" i="59"/>
  <c r="B106" i="59"/>
  <c r="K153" i="59"/>
  <c r="C105" i="59"/>
  <c r="B105" i="59"/>
  <c r="C104" i="59"/>
  <c r="B104" i="59"/>
  <c r="K151" i="59"/>
  <c r="C103" i="59"/>
  <c r="B103" i="59"/>
  <c r="K150" i="59"/>
  <c r="C102" i="59"/>
  <c r="B102" i="59"/>
  <c r="K149" i="59"/>
  <c r="C101" i="59"/>
  <c r="B101" i="59"/>
  <c r="C100" i="59"/>
  <c r="B100" i="59"/>
  <c r="K147" i="59"/>
  <c r="C99" i="59"/>
  <c r="B99" i="59"/>
  <c r="K146" i="59"/>
  <c r="C98" i="59"/>
  <c r="B98" i="59"/>
  <c r="K145" i="59"/>
  <c r="C97" i="59"/>
  <c r="B97" i="59"/>
  <c r="K144" i="59"/>
  <c r="C96" i="59"/>
  <c r="B96" i="59"/>
  <c r="K143" i="59"/>
  <c r="C95" i="59"/>
  <c r="B95" i="59"/>
  <c r="K142" i="59"/>
  <c r="C94" i="59"/>
  <c r="B94" i="59"/>
  <c r="K141" i="59"/>
  <c r="C93" i="59"/>
  <c r="B93" i="59"/>
  <c r="K140" i="59"/>
  <c r="C92" i="59"/>
  <c r="B92" i="59"/>
  <c r="K139" i="59"/>
  <c r="C91" i="59"/>
  <c r="B91" i="59"/>
  <c r="K138" i="59"/>
  <c r="C90" i="59"/>
  <c r="B90" i="59"/>
  <c r="K137" i="59"/>
  <c r="C89" i="59"/>
  <c r="B89" i="59"/>
  <c r="K136" i="59"/>
  <c r="C88" i="59"/>
  <c r="B88" i="59"/>
  <c r="K135" i="59"/>
  <c r="C87" i="59"/>
  <c r="B87" i="59"/>
  <c r="C86" i="59"/>
  <c r="B86" i="59"/>
  <c r="C85" i="59"/>
  <c r="B85" i="59"/>
  <c r="C84" i="59"/>
  <c r="B84" i="59"/>
  <c r="C83" i="59"/>
  <c r="B83" i="59"/>
  <c r="C82" i="59"/>
  <c r="B82" i="59"/>
  <c r="C81" i="59"/>
  <c r="B81" i="59"/>
  <c r="C80" i="59"/>
  <c r="B80" i="59"/>
  <c r="C79" i="59"/>
  <c r="B79" i="59"/>
  <c r="C78" i="59"/>
  <c r="B78" i="59"/>
  <c r="C77" i="59"/>
  <c r="B77" i="59"/>
  <c r="C76" i="59"/>
  <c r="B76" i="59"/>
  <c r="C75" i="59"/>
  <c r="B75" i="59"/>
  <c r="C74" i="59"/>
  <c r="B74" i="59"/>
  <c r="C73" i="59"/>
  <c r="B73" i="59"/>
  <c r="C72" i="59"/>
  <c r="B72" i="59"/>
  <c r="C71" i="59"/>
  <c r="B71" i="59"/>
  <c r="C70" i="59"/>
  <c r="B70" i="59"/>
  <c r="C69" i="59"/>
  <c r="B69" i="59"/>
  <c r="C68" i="59"/>
  <c r="B68" i="59"/>
  <c r="C67" i="59"/>
  <c r="B67" i="59"/>
  <c r="C66" i="59"/>
  <c r="B66" i="59"/>
  <c r="C65" i="59"/>
  <c r="B65" i="59"/>
  <c r="C64" i="59"/>
  <c r="B64" i="59"/>
  <c r="C63" i="59"/>
  <c r="B63" i="59"/>
  <c r="C62" i="59"/>
  <c r="B62" i="59"/>
  <c r="C61" i="59"/>
  <c r="B61" i="59"/>
  <c r="C60" i="59"/>
  <c r="B60" i="59"/>
  <c r="C59" i="59"/>
  <c r="B59" i="59"/>
  <c r="C58" i="59"/>
  <c r="B58" i="59"/>
  <c r="C57" i="59"/>
  <c r="B57" i="59"/>
  <c r="C56" i="59"/>
  <c r="B56" i="59"/>
  <c r="C55" i="59"/>
  <c r="B55" i="59"/>
  <c r="C54" i="59"/>
  <c r="B54" i="59"/>
  <c r="C53" i="59"/>
  <c r="B53" i="59"/>
  <c r="C52" i="59"/>
  <c r="B52" i="59"/>
  <c r="C51" i="59"/>
  <c r="B51" i="59"/>
  <c r="C50" i="59"/>
  <c r="B50" i="59"/>
  <c r="C49" i="59"/>
  <c r="B49" i="59"/>
  <c r="C48" i="59"/>
  <c r="B48" i="59"/>
  <c r="C47" i="59"/>
  <c r="B47" i="59"/>
  <c r="C46" i="59"/>
  <c r="B46" i="59"/>
  <c r="C45" i="59"/>
  <c r="B45" i="59"/>
  <c r="C44" i="59"/>
  <c r="B44" i="59"/>
  <c r="C43" i="59"/>
  <c r="B43" i="59"/>
  <c r="C42" i="59"/>
  <c r="B42" i="59"/>
  <c r="C41" i="59"/>
  <c r="B41" i="59"/>
  <c r="C40" i="59"/>
  <c r="B40" i="59"/>
  <c r="C39" i="59"/>
  <c r="B39" i="59"/>
  <c r="C38" i="59"/>
  <c r="B38" i="59"/>
  <c r="C37" i="59"/>
  <c r="B37" i="59"/>
  <c r="C36" i="59"/>
  <c r="B36" i="59"/>
  <c r="C35" i="59"/>
  <c r="B35" i="59"/>
  <c r="C34" i="59"/>
  <c r="B34" i="59"/>
  <c r="C33" i="59"/>
  <c r="B33" i="59"/>
  <c r="C32" i="59"/>
  <c r="B32" i="59"/>
  <c r="C31" i="59"/>
  <c r="B31" i="59"/>
  <c r="C30" i="59"/>
  <c r="B30" i="59"/>
  <c r="C29" i="59"/>
  <c r="B29" i="59"/>
  <c r="C28" i="59"/>
  <c r="B28" i="59"/>
  <c r="C27" i="59"/>
  <c r="B27" i="59"/>
  <c r="C26" i="59"/>
  <c r="B26" i="59"/>
  <c r="C25" i="59"/>
  <c r="B25" i="59"/>
  <c r="C24" i="59"/>
  <c r="B24" i="59"/>
  <c r="C23" i="59"/>
  <c r="B23" i="59"/>
  <c r="C22" i="59"/>
  <c r="B22" i="59"/>
  <c r="C21" i="59"/>
  <c r="B21" i="59"/>
  <c r="C20" i="59"/>
  <c r="B20" i="59"/>
  <c r="C19" i="59"/>
  <c r="B19" i="59"/>
  <c r="C18" i="59"/>
  <c r="B18" i="59"/>
  <c r="C17" i="59"/>
  <c r="B17" i="59"/>
  <c r="C16" i="59"/>
  <c r="B16" i="59"/>
  <c r="C15" i="59"/>
  <c r="B15" i="59"/>
  <c r="C14" i="59"/>
  <c r="B14" i="59"/>
  <c r="C13" i="59"/>
  <c r="B13" i="59"/>
  <c r="C12" i="59"/>
  <c r="B12" i="59"/>
  <c r="C11" i="59"/>
  <c r="B11" i="59"/>
  <c r="C10" i="59"/>
  <c r="B10" i="59"/>
  <c r="C9" i="59"/>
  <c r="B9" i="59"/>
  <c r="C8" i="59"/>
  <c r="B8" i="59"/>
  <c r="C7" i="59"/>
  <c r="B7" i="59"/>
  <c r="C6" i="59"/>
  <c r="B6" i="59"/>
  <c r="C5" i="59"/>
  <c r="B5" i="59"/>
  <c r="C4" i="59"/>
  <c r="B4" i="59"/>
  <c r="C3" i="59"/>
  <c r="B3" i="59"/>
  <c r="A168" i="58"/>
  <c r="A167" i="58"/>
  <c r="C158" i="58"/>
  <c r="B158" i="58"/>
  <c r="C157" i="58"/>
  <c r="B157" i="58"/>
  <c r="C156" i="58"/>
  <c r="B156" i="58"/>
  <c r="C155" i="58"/>
  <c r="B155" i="58"/>
  <c r="C154" i="58"/>
  <c r="B154" i="58"/>
  <c r="C153" i="58"/>
  <c r="B153" i="58"/>
  <c r="C152" i="58"/>
  <c r="B152" i="58"/>
  <c r="C151" i="58"/>
  <c r="B151" i="58"/>
  <c r="K150" i="58"/>
  <c r="C150" i="58"/>
  <c r="B150" i="58"/>
  <c r="C149" i="58"/>
  <c r="B149" i="58"/>
  <c r="C148" i="58"/>
  <c r="B148" i="58"/>
  <c r="C147" i="58"/>
  <c r="B147" i="58"/>
  <c r="C146" i="58"/>
  <c r="B146" i="58"/>
  <c r="C145" i="58"/>
  <c r="B145" i="58"/>
  <c r="C144" i="58"/>
  <c r="B144" i="58"/>
  <c r="C143" i="58"/>
  <c r="B143" i="58"/>
  <c r="C142" i="58"/>
  <c r="B142" i="58"/>
  <c r="C141" i="58"/>
  <c r="B141" i="58"/>
  <c r="C140" i="58"/>
  <c r="B140" i="58"/>
  <c r="C139" i="58"/>
  <c r="B139" i="58"/>
  <c r="C138" i="58"/>
  <c r="B138" i="58"/>
  <c r="C137" i="58"/>
  <c r="B137" i="58"/>
  <c r="K136" i="58"/>
  <c r="K148" i="58" s="1"/>
  <c r="C136" i="58"/>
  <c r="B136" i="58"/>
  <c r="C135" i="58"/>
  <c r="B135" i="58"/>
  <c r="M135" i="58"/>
  <c r="M136" i="58" s="1"/>
  <c r="M137" i="58" s="1"/>
  <c r="M138" i="58" s="1"/>
  <c r="M139" i="58" s="1"/>
  <c r="M140" i="58" s="1"/>
  <c r="M141" i="58" s="1"/>
  <c r="M142" i="58" s="1"/>
  <c r="M143" i="58" s="1"/>
  <c r="M144" i="58" s="1"/>
  <c r="M145" i="58" s="1"/>
  <c r="M146" i="58" s="1"/>
  <c r="M147" i="58" s="1"/>
  <c r="M148" i="58" s="1"/>
  <c r="M149" i="58" s="1"/>
  <c r="M150" i="58" s="1"/>
  <c r="M151" i="58" s="1"/>
  <c r="M152" i="58" s="1"/>
  <c r="M153" i="58" s="1"/>
  <c r="M154" i="58" s="1"/>
  <c r="M155" i="58" s="1"/>
  <c r="M156" i="58" s="1"/>
  <c r="M157" i="58" s="1"/>
  <c r="M158" i="58" s="1"/>
  <c r="C134" i="58"/>
  <c r="B134" i="58"/>
  <c r="C133" i="58"/>
  <c r="B133" i="58"/>
  <c r="C132" i="58"/>
  <c r="B132" i="58"/>
  <c r="C131" i="58"/>
  <c r="B131" i="58"/>
  <c r="C130" i="58"/>
  <c r="B130" i="58"/>
  <c r="C129" i="58"/>
  <c r="B129" i="58"/>
  <c r="C128" i="58"/>
  <c r="B128" i="58"/>
  <c r="C127" i="58"/>
  <c r="B127" i="58"/>
  <c r="C126" i="58"/>
  <c r="B126" i="58"/>
  <c r="C125" i="58"/>
  <c r="B125" i="58"/>
  <c r="C124" i="58"/>
  <c r="B124" i="58"/>
  <c r="C123" i="58"/>
  <c r="B123" i="58"/>
  <c r="K146" i="58"/>
  <c r="K158" i="58" s="1"/>
  <c r="C122" i="58"/>
  <c r="B122" i="58"/>
  <c r="K145" i="58"/>
  <c r="K157" i="58" s="1"/>
  <c r="C121" i="58"/>
  <c r="B121" i="58"/>
  <c r="K144" i="58"/>
  <c r="K156" i="58" s="1"/>
  <c r="C120" i="58"/>
  <c r="B120" i="58"/>
  <c r="K143" i="58"/>
  <c r="K155" i="58" s="1"/>
  <c r="C119" i="58"/>
  <c r="B119" i="58"/>
  <c r="K142" i="58"/>
  <c r="K154" i="58" s="1"/>
  <c r="C118" i="58"/>
  <c r="B118" i="58"/>
  <c r="K141" i="58"/>
  <c r="K153" i="58" s="1"/>
  <c r="C117" i="58"/>
  <c r="B117" i="58"/>
  <c r="K140" i="58"/>
  <c r="K152" i="58" s="1"/>
  <c r="C116" i="58"/>
  <c r="B116" i="58"/>
  <c r="K139" i="58"/>
  <c r="K151" i="58" s="1"/>
  <c r="C115" i="58"/>
  <c r="B115" i="58"/>
  <c r="K138" i="58"/>
  <c r="C114" i="58"/>
  <c r="B114" i="58"/>
  <c r="K137" i="58"/>
  <c r="K149" i="58" s="1"/>
  <c r="C113" i="58"/>
  <c r="B113" i="58"/>
  <c r="C112" i="58"/>
  <c r="B112" i="58"/>
  <c r="K135" i="58"/>
  <c r="K147" i="58" s="1"/>
  <c r="C111" i="58"/>
  <c r="B111" i="58"/>
  <c r="C110" i="58"/>
  <c r="B110" i="58"/>
  <c r="C109" i="58"/>
  <c r="B109" i="58"/>
  <c r="C108" i="58"/>
  <c r="B108" i="58"/>
  <c r="C107" i="58"/>
  <c r="B107" i="58"/>
  <c r="C106" i="58"/>
  <c r="B106" i="58"/>
  <c r="C105" i="58"/>
  <c r="B105" i="58"/>
  <c r="C104" i="58"/>
  <c r="B104" i="58"/>
  <c r="C103" i="58"/>
  <c r="B103" i="58"/>
  <c r="C102" i="58"/>
  <c r="B102" i="58"/>
  <c r="C101" i="58"/>
  <c r="B101" i="58"/>
  <c r="C100" i="58"/>
  <c r="B100" i="58"/>
  <c r="C99" i="58"/>
  <c r="B99" i="58"/>
  <c r="C98" i="58"/>
  <c r="B98" i="58"/>
  <c r="C97" i="58"/>
  <c r="B97" i="58"/>
  <c r="C96" i="58"/>
  <c r="B96" i="58"/>
  <c r="C95" i="58"/>
  <c r="B95" i="58"/>
  <c r="C94" i="58"/>
  <c r="B94" i="58"/>
  <c r="C93" i="58"/>
  <c r="B93" i="58"/>
  <c r="C92" i="58"/>
  <c r="B92" i="58"/>
  <c r="C91" i="58"/>
  <c r="B91" i="58"/>
  <c r="C90" i="58"/>
  <c r="B90" i="58"/>
  <c r="C89" i="58"/>
  <c r="B89" i="58"/>
  <c r="C88" i="58"/>
  <c r="B88" i="58"/>
  <c r="C87" i="58"/>
  <c r="B87" i="58"/>
  <c r="C86" i="58"/>
  <c r="B86" i="58"/>
  <c r="C85" i="58"/>
  <c r="B85" i="58"/>
  <c r="C84" i="58"/>
  <c r="B84" i="58"/>
  <c r="C83" i="58"/>
  <c r="B83" i="58"/>
  <c r="C82" i="58"/>
  <c r="B82" i="58"/>
  <c r="C81" i="58"/>
  <c r="B81" i="58"/>
  <c r="C80" i="58"/>
  <c r="B80" i="58"/>
  <c r="C79" i="58"/>
  <c r="B79" i="58"/>
  <c r="C78" i="58"/>
  <c r="B78" i="58"/>
  <c r="C77" i="58"/>
  <c r="B77" i="58"/>
  <c r="C76" i="58"/>
  <c r="B76" i="58"/>
  <c r="C75" i="58"/>
  <c r="B75" i="58"/>
  <c r="C74" i="58"/>
  <c r="B74" i="58"/>
  <c r="C73" i="58"/>
  <c r="B73" i="58"/>
  <c r="C72" i="58"/>
  <c r="B72" i="58"/>
  <c r="C71" i="58"/>
  <c r="B71" i="58"/>
  <c r="C70" i="58"/>
  <c r="B70" i="58"/>
  <c r="C69" i="58"/>
  <c r="B69" i="58"/>
  <c r="C68" i="58"/>
  <c r="B68" i="58"/>
  <c r="C67" i="58"/>
  <c r="B67" i="58"/>
  <c r="C66" i="58"/>
  <c r="B66" i="58"/>
  <c r="C65" i="58"/>
  <c r="B65" i="58"/>
  <c r="C64" i="58"/>
  <c r="B64" i="58"/>
  <c r="C63" i="58"/>
  <c r="B63" i="58"/>
  <c r="C62" i="58"/>
  <c r="B62" i="58"/>
  <c r="C61" i="58"/>
  <c r="B61" i="58"/>
  <c r="C60" i="58"/>
  <c r="B60" i="58"/>
  <c r="C59" i="58"/>
  <c r="B59" i="58"/>
  <c r="C58" i="58"/>
  <c r="B58" i="58"/>
  <c r="C57" i="58"/>
  <c r="B57" i="58"/>
  <c r="C56" i="58"/>
  <c r="B56" i="58"/>
  <c r="C55" i="58"/>
  <c r="B55" i="58"/>
  <c r="C54" i="58"/>
  <c r="B54" i="58"/>
  <c r="C53" i="58"/>
  <c r="B53" i="58"/>
  <c r="C52" i="58"/>
  <c r="B52" i="58"/>
  <c r="C51" i="58"/>
  <c r="B51" i="58"/>
  <c r="C50" i="58"/>
  <c r="B50" i="58"/>
  <c r="C49" i="58"/>
  <c r="B49" i="58"/>
  <c r="C48" i="58"/>
  <c r="B48" i="58"/>
  <c r="C47" i="58"/>
  <c r="B47" i="58"/>
  <c r="C46" i="58"/>
  <c r="B46" i="58"/>
  <c r="C45" i="58"/>
  <c r="B45" i="58"/>
  <c r="C44" i="58"/>
  <c r="B44" i="58"/>
  <c r="C43" i="58"/>
  <c r="B43" i="58"/>
  <c r="C42" i="58"/>
  <c r="B42" i="58"/>
  <c r="C41" i="58"/>
  <c r="B41" i="58"/>
  <c r="C40" i="58"/>
  <c r="B40" i="58"/>
  <c r="C39" i="58"/>
  <c r="B39" i="58"/>
  <c r="C38" i="58"/>
  <c r="B38" i="58"/>
  <c r="C37" i="58"/>
  <c r="B37" i="58"/>
  <c r="C36" i="58"/>
  <c r="B36" i="58"/>
  <c r="C35" i="58"/>
  <c r="B35" i="58"/>
  <c r="C34" i="58"/>
  <c r="B34" i="58"/>
  <c r="C33" i="58"/>
  <c r="B33" i="58"/>
  <c r="C32" i="58"/>
  <c r="B32" i="58"/>
  <c r="C31" i="58"/>
  <c r="B31" i="58"/>
  <c r="C30" i="58"/>
  <c r="B30" i="58"/>
  <c r="C29" i="58"/>
  <c r="B29" i="58"/>
  <c r="C28" i="58"/>
  <c r="B28" i="58"/>
  <c r="C27" i="58"/>
  <c r="B27" i="58"/>
  <c r="C26" i="58"/>
  <c r="B26" i="58"/>
  <c r="C25" i="58"/>
  <c r="B25" i="58"/>
  <c r="C24" i="58"/>
  <c r="B24" i="58"/>
  <c r="C23" i="58"/>
  <c r="B23" i="58"/>
  <c r="C22" i="58"/>
  <c r="B22" i="58"/>
  <c r="C21" i="58"/>
  <c r="B21" i="58"/>
  <c r="C20" i="58"/>
  <c r="B20" i="58"/>
  <c r="C19" i="58"/>
  <c r="B19" i="58"/>
  <c r="C18" i="58"/>
  <c r="B18" i="58"/>
  <c r="C17" i="58"/>
  <c r="B17" i="58"/>
  <c r="C16" i="58"/>
  <c r="B16" i="58"/>
  <c r="C15" i="58"/>
  <c r="B15" i="58"/>
  <c r="C14" i="58"/>
  <c r="B14" i="58"/>
  <c r="C13" i="58"/>
  <c r="B13" i="58"/>
  <c r="C12" i="58"/>
  <c r="B12" i="58"/>
  <c r="C11" i="58"/>
  <c r="B11" i="58"/>
  <c r="C10" i="58"/>
  <c r="B10" i="58"/>
  <c r="C9" i="58"/>
  <c r="B9" i="58"/>
  <c r="C8" i="58"/>
  <c r="B8" i="58"/>
  <c r="C7" i="58"/>
  <c r="B7" i="58"/>
  <c r="C6" i="58"/>
  <c r="B6" i="58"/>
  <c r="C5" i="58"/>
  <c r="B5" i="58"/>
  <c r="C4" i="58"/>
  <c r="B4" i="58"/>
  <c r="C3" i="58"/>
  <c r="B3" i="58"/>
  <c r="D168" i="59" l="1"/>
  <c r="D167" i="58"/>
  <c r="D166" i="58"/>
  <c r="D168" i="58"/>
  <c r="A169" i="58"/>
  <c r="D167" i="59"/>
  <c r="D169" i="59"/>
  <c r="A170" i="59"/>
  <c r="A170" i="58" l="1"/>
  <c r="D169" i="58"/>
  <c r="A171" i="59"/>
  <c r="D170" i="59"/>
  <c r="A171" i="58" l="1"/>
  <c r="D170" i="58"/>
  <c r="A172" i="59"/>
  <c r="D171" i="59"/>
  <c r="A172" i="58" l="1"/>
  <c r="D171" i="58"/>
  <c r="D172" i="59"/>
  <c r="A173" i="59"/>
  <c r="D173" i="59" l="1"/>
  <c r="A174" i="59"/>
  <c r="D172" i="58"/>
  <c r="A173" i="58"/>
  <c r="A174" i="58" l="1"/>
  <c r="D173" i="58"/>
  <c r="A175" i="59"/>
  <c r="D174" i="59"/>
  <c r="A176" i="59" l="1"/>
  <c r="D175" i="59"/>
  <c r="A175" i="58"/>
  <c r="D174" i="58"/>
  <c r="D175" i="58" l="1"/>
  <c r="A176" i="58"/>
  <c r="D176" i="59"/>
  <c r="A177" i="59"/>
  <c r="D177" i="59" l="1"/>
  <c r="A178" i="59"/>
  <c r="D176" i="58"/>
  <c r="A177" i="58"/>
  <c r="A178" i="58" l="1"/>
  <c r="A179" i="59"/>
  <c r="Z4" i="17" l="1"/>
  <c r="Z5" i="17"/>
  <c r="Z6" i="17"/>
  <c r="Z7" i="17"/>
  <c r="Z8" i="17"/>
  <c r="Z9" i="17"/>
  <c r="Z10" i="17"/>
  <c r="Z11" i="17"/>
  <c r="Z12" i="17"/>
  <c r="Z13" i="17"/>
  <c r="Z14" i="17"/>
  <c r="T179" i="59" l="1"/>
  <c r="T178" i="59"/>
  <c r="S177" i="58"/>
  <c r="S178" i="58"/>
  <c r="N135" i="46"/>
  <c r="L135" i="46"/>
  <c r="J135" i="22"/>
  <c r="K61" i="17"/>
  <c r="N61" i="17"/>
  <c r="O62" i="17"/>
  <c r="O63" i="17" s="1"/>
  <c r="O64" i="17" s="1"/>
  <c r="O65" i="17" s="1"/>
  <c r="O66" i="17" s="1"/>
  <c r="O67" i="17" s="1"/>
  <c r="O68" i="17" s="1"/>
  <c r="O69" i="17" s="1"/>
  <c r="O70" i="17" s="1"/>
  <c r="O71" i="17" s="1"/>
  <c r="O73" i="17" s="1"/>
  <c r="O74" i="17" s="1"/>
  <c r="O75" i="17" s="1"/>
  <c r="O76" i="17" s="1"/>
  <c r="O77" i="17" s="1"/>
  <c r="O78" i="17" s="1"/>
  <c r="O79" i="17" s="1"/>
  <c r="O80" i="17" s="1"/>
  <c r="O81" i="17" s="1"/>
  <c r="O82" i="17" s="1"/>
  <c r="O83" i="17" s="1"/>
  <c r="B60" i="17"/>
  <c r="X18" i="17"/>
  <c r="X17" i="17"/>
  <c r="X16" i="17"/>
  <c r="X15" i="17"/>
  <c r="X14" i="17"/>
  <c r="X13" i="17"/>
  <c r="X12" i="17"/>
  <c r="X11" i="17"/>
  <c r="X10" i="17"/>
  <c r="X9" i="17"/>
  <c r="X8" i="17"/>
  <c r="X7" i="17"/>
  <c r="X6" i="17"/>
  <c r="U18" i="17"/>
  <c r="U17" i="17"/>
  <c r="U16" i="17"/>
  <c r="U15" i="17"/>
  <c r="U14" i="17"/>
  <c r="U13" i="17"/>
  <c r="U12" i="17"/>
  <c r="U11" i="17"/>
  <c r="U10" i="17"/>
  <c r="U9" i="17"/>
  <c r="U8" i="17"/>
  <c r="U7" i="17"/>
  <c r="U6" i="17"/>
  <c r="U5" i="17"/>
  <c r="R18" i="17"/>
  <c r="R17" i="17"/>
  <c r="R16" i="17"/>
  <c r="R15" i="17"/>
  <c r="R14" i="17"/>
  <c r="R13" i="17"/>
  <c r="R12" i="17"/>
  <c r="R11" i="17"/>
  <c r="R10" i="17"/>
  <c r="R9" i="17"/>
  <c r="R8" i="17"/>
  <c r="R7" i="17"/>
  <c r="R6" i="17"/>
  <c r="R5" i="17"/>
  <c r="O18" i="17"/>
  <c r="O17" i="17"/>
  <c r="O16" i="17"/>
  <c r="O15" i="17"/>
  <c r="O14" i="17"/>
  <c r="O13" i="17"/>
  <c r="O12" i="17"/>
  <c r="O11" i="17"/>
  <c r="O10" i="17"/>
  <c r="O9" i="17"/>
  <c r="O8" i="17"/>
  <c r="O7" i="17"/>
  <c r="O6" i="17"/>
  <c r="O5" i="17"/>
  <c r="L18" i="17"/>
  <c r="L17" i="17"/>
  <c r="L16" i="17"/>
  <c r="L15" i="17"/>
  <c r="L12" i="17"/>
  <c r="L11" i="17"/>
  <c r="L10" i="17"/>
  <c r="L9" i="17"/>
  <c r="L8" i="17"/>
  <c r="L7" i="17"/>
  <c r="L6" i="17"/>
  <c r="L5" i="17"/>
  <c r="I18" i="17"/>
  <c r="I17" i="17"/>
  <c r="I16" i="17"/>
  <c r="I15" i="17"/>
  <c r="I14" i="17"/>
  <c r="I13" i="17"/>
  <c r="I12" i="17"/>
  <c r="I11" i="17"/>
  <c r="I10" i="17"/>
  <c r="I9" i="17"/>
  <c r="I8" i="17"/>
  <c r="I7" i="17"/>
  <c r="I6" i="17"/>
  <c r="I5" i="17"/>
  <c r="F18" i="17"/>
  <c r="F17" i="17"/>
  <c r="F16" i="17"/>
  <c r="F15" i="17"/>
  <c r="F14" i="17"/>
  <c r="F13" i="17"/>
  <c r="F12" i="17"/>
  <c r="F11" i="17"/>
  <c r="F10" i="17"/>
  <c r="F9" i="17"/>
  <c r="F8" i="17"/>
  <c r="F7" i="17"/>
  <c r="F6" i="17"/>
  <c r="F5" i="17"/>
  <c r="C5" i="17"/>
  <c r="C6" i="17"/>
  <c r="C7" i="17"/>
  <c r="C8" i="17"/>
  <c r="C9" i="17"/>
  <c r="C10" i="17"/>
  <c r="C11" i="17"/>
  <c r="C12" i="17"/>
  <c r="C13" i="17"/>
  <c r="C14" i="17"/>
  <c r="B128" i="46"/>
  <c r="C128" i="46"/>
  <c r="B129" i="46"/>
  <c r="C129" i="46"/>
  <c r="B130" i="46"/>
  <c r="C130" i="46"/>
  <c r="B131" i="46"/>
  <c r="C131" i="46"/>
  <c r="B132" i="46"/>
  <c r="C132" i="46"/>
  <c r="B133" i="46"/>
  <c r="C133" i="46"/>
  <c r="B134" i="46"/>
  <c r="C134" i="46"/>
  <c r="B128" i="45"/>
  <c r="C128" i="45"/>
  <c r="B129" i="45"/>
  <c r="C129" i="45"/>
  <c r="B130" i="45"/>
  <c r="C130" i="45"/>
  <c r="B131" i="45"/>
  <c r="C131" i="45"/>
  <c r="B132" i="45"/>
  <c r="C132" i="45"/>
  <c r="B133" i="45"/>
  <c r="C133" i="45"/>
  <c r="B134" i="45"/>
  <c r="C134" i="45"/>
  <c r="B128" i="22"/>
  <c r="C128" i="22"/>
  <c r="B129" i="22"/>
  <c r="C129" i="22"/>
  <c r="B130" i="22"/>
  <c r="C130" i="22"/>
  <c r="B131" i="22"/>
  <c r="C131" i="22"/>
  <c r="B132" i="22"/>
  <c r="C132" i="22"/>
  <c r="B133" i="22"/>
  <c r="C133" i="22"/>
  <c r="B134" i="22"/>
  <c r="C134" i="22"/>
  <c r="B128" i="37"/>
  <c r="C128" i="37"/>
  <c r="B129" i="37"/>
  <c r="C129" i="37"/>
  <c r="B130" i="37"/>
  <c r="C130" i="37"/>
  <c r="B131" i="37"/>
  <c r="C131" i="37"/>
  <c r="B132" i="37"/>
  <c r="C132" i="37"/>
  <c r="B133" i="37"/>
  <c r="C133" i="37"/>
  <c r="B134" i="37"/>
  <c r="C134" i="37"/>
  <c r="B61" i="17" l="1"/>
  <c r="C60" i="17"/>
  <c r="L62" i="17"/>
  <c r="L63" i="17" s="1"/>
  <c r="L64" i="17" s="1"/>
  <c r="L65" i="17" s="1"/>
  <c r="L66" i="17" s="1"/>
  <c r="L67" i="17" s="1"/>
  <c r="L68" i="17" s="1"/>
  <c r="L69" i="17" s="1"/>
  <c r="L70" i="17" s="1"/>
  <c r="L71" i="17" s="1"/>
  <c r="L73" i="17" s="1"/>
  <c r="L74" i="17" s="1"/>
  <c r="L75" i="17" s="1"/>
  <c r="L76" i="17" s="1"/>
  <c r="L77" i="17" s="1"/>
  <c r="L78" i="17" s="1"/>
  <c r="L79" i="17" s="1"/>
  <c r="L80" i="17" s="1"/>
  <c r="L81" i="17" s="1"/>
  <c r="L82" i="17" s="1"/>
  <c r="L83" i="17" s="1"/>
  <c r="N62" i="17"/>
  <c r="N63" i="17" s="1"/>
  <c r="N64" i="17" s="1"/>
  <c r="N65" i="17" s="1"/>
  <c r="N66" i="17" s="1"/>
  <c r="N67" i="17" s="1"/>
  <c r="N68" i="17" s="1"/>
  <c r="N69" i="17" s="1"/>
  <c r="N70" i="17" s="1"/>
  <c r="N71" i="17" s="1"/>
  <c r="N72" i="17" s="1"/>
  <c r="C61" i="17" l="1"/>
  <c r="B62" i="17"/>
  <c r="B63" i="17"/>
  <c r="K62" i="17"/>
  <c r="K63" i="17" s="1"/>
  <c r="K64" i="17" s="1"/>
  <c r="K65" i="17" s="1"/>
  <c r="K66" i="17" s="1"/>
  <c r="K67" i="17" s="1"/>
  <c r="K68" i="17" s="1"/>
  <c r="K69" i="17" s="1"/>
  <c r="K70" i="17" s="1"/>
  <c r="K71" i="17" s="1"/>
  <c r="K72" i="17" s="1"/>
  <c r="K73" i="17" s="1"/>
  <c r="K74" i="17" s="1"/>
  <c r="K75" i="17" s="1"/>
  <c r="K76" i="17" s="1"/>
  <c r="K77" i="17" s="1"/>
  <c r="K78" i="17" s="1"/>
  <c r="K79" i="17" s="1"/>
  <c r="K80" i="17" s="1"/>
  <c r="K81" i="17" s="1"/>
  <c r="K82" i="17" s="1"/>
  <c r="K83" i="17" s="1"/>
  <c r="N73" i="17"/>
  <c r="N74" i="17" s="1"/>
  <c r="N75" i="17" s="1"/>
  <c r="N76" i="17" s="1"/>
  <c r="N77" i="17" s="1"/>
  <c r="N78" i="17" s="1"/>
  <c r="N79" i="17" s="1"/>
  <c r="N80" i="17" s="1"/>
  <c r="N81" i="17" s="1"/>
  <c r="N82" i="17" s="1"/>
  <c r="N83" i="17" s="1"/>
  <c r="N32" i="17"/>
  <c r="C62" i="17" l="1"/>
  <c r="C63" i="17"/>
  <c r="B64" i="17"/>
  <c r="K32" i="17"/>
  <c r="K40" i="17" s="1"/>
  <c r="N24" i="11" s="1"/>
  <c r="N33" i="17"/>
  <c r="K33" i="17"/>
  <c r="K41" i="17" s="1"/>
  <c r="O24" i="11" s="1"/>
  <c r="C64" i="17" l="1"/>
  <c r="B65" i="17"/>
  <c r="B66" i="17" l="1"/>
  <c r="C65" i="17"/>
  <c r="B67" i="17" l="1"/>
  <c r="C66" i="17"/>
  <c r="B68" i="17" l="1"/>
  <c r="C67" i="17"/>
  <c r="B69" i="17" l="1"/>
  <c r="C68" i="17"/>
  <c r="B70" i="17" l="1"/>
  <c r="C69" i="17"/>
  <c r="B71" i="17" l="1"/>
  <c r="C70" i="17"/>
  <c r="B72" i="17" l="1"/>
  <c r="C71" i="17"/>
  <c r="B73" i="17" l="1"/>
  <c r="C72" i="17"/>
  <c r="B74" i="17" l="1"/>
  <c r="C73" i="17"/>
  <c r="B75" i="17" l="1"/>
  <c r="C74" i="17"/>
  <c r="B76" i="17" l="1"/>
  <c r="C75" i="17"/>
  <c r="B77" i="17" l="1"/>
  <c r="C76" i="17"/>
  <c r="B78" i="17" l="1"/>
  <c r="C77" i="17"/>
  <c r="B79" i="17" l="1"/>
  <c r="C78" i="17"/>
  <c r="B80" i="17" l="1"/>
  <c r="C79" i="17"/>
  <c r="B81" i="17" l="1"/>
  <c r="C80" i="17"/>
  <c r="B82" i="17" l="1"/>
  <c r="C81" i="17"/>
  <c r="B83" i="17" l="1"/>
  <c r="C82" i="17"/>
  <c r="C83" i="17" l="1"/>
  <c r="T136" i="46"/>
  <c r="S147" i="58"/>
  <c r="N147" i="58" s="1"/>
  <c r="S135" i="58"/>
  <c r="N135" i="58" s="1"/>
  <c r="T137" i="46" l="1"/>
  <c r="N136" i="46"/>
  <c r="Q147" i="22"/>
  <c r="L147" i="37"/>
  <c r="T148" i="46"/>
  <c r="N147" i="46"/>
  <c r="Q135" i="22"/>
  <c r="L135" i="37"/>
  <c r="S136" i="45"/>
  <c r="N135" i="45"/>
  <c r="S148" i="45"/>
  <c r="N147" i="45"/>
  <c r="L135" i="22" l="1"/>
  <c r="T135" i="59"/>
  <c r="N135" i="59" s="1"/>
  <c r="L147" i="22"/>
  <c r="T147" i="59"/>
  <c r="N147" i="59" s="1"/>
  <c r="T149" i="46"/>
  <c r="N148" i="46"/>
  <c r="T138" i="46"/>
  <c r="N137" i="46"/>
  <c r="S149" i="45"/>
  <c r="N148" i="45"/>
  <c r="S137" i="45"/>
  <c r="N136" i="45"/>
  <c r="Q148" i="22"/>
  <c r="Q136" i="22"/>
  <c r="T136" i="59" s="1"/>
  <c r="N136" i="59" s="1"/>
  <c r="Q148" i="37"/>
  <c r="S148" i="58" s="1"/>
  <c r="N148" i="58" s="1"/>
  <c r="Q136" i="37"/>
  <c r="S136" i="58" s="1"/>
  <c r="N136" i="58" s="1"/>
  <c r="L148" i="22" l="1"/>
  <c r="T148" i="59"/>
  <c r="N148" i="59" s="1"/>
  <c r="Q137" i="22"/>
  <c r="T137" i="59" s="1"/>
  <c r="N137" i="59" s="1"/>
  <c r="L136" i="22"/>
  <c r="Q137" i="37"/>
  <c r="S137" i="58" s="1"/>
  <c r="N137" i="58" s="1"/>
  <c r="L136" i="37"/>
  <c r="T150" i="46"/>
  <c r="N149" i="46"/>
  <c r="T139" i="46"/>
  <c r="N138" i="46"/>
  <c r="Q149" i="37"/>
  <c r="S149" i="58" s="1"/>
  <c r="N149" i="58" s="1"/>
  <c r="L148" i="37"/>
  <c r="S138" i="45"/>
  <c r="N137" i="45"/>
  <c r="S150" i="45"/>
  <c r="N149" i="45"/>
  <c r="Q149" i="22"/>
  <c r="L149" i="22" l="1"/>
  <c r="T149" i="59"/>
  <c r="N149" i="59" s="1"/>
  <c r="T140" i="46"/>
  <c r="N139" i="46"/>
  <c r="Q138" i="37"/>
  <c r="S138" i="58" s="1"/>
  <c r="N138" i="58" s="1"/>
  <c r="L137" i="37"/>
  <c r="Q150" i="37"/>
  <c r="S150" i="58" s="1"/>
  <c r="N150" i="58" s="1"/>
  <c r="L149" i="37"/>
  <c r="T151" i="46"/>
  <c r="N150" i="46"/>
  <c r="Q138" i="22"/>
  <c r="T138" i="59" s="1"/>
  <c r="N138" i="59" s="1"/>
  <c r="L137" i="22"/>
  <c r="S151" i="45"/>
  <c r="N150" i="45"/>
  <c r="S139" i="45"/>
  <c r="N138" i="45"/>
  <c r="Q150" i="22"/>
  <c r="L150" i="22" l="1"/>
  <c r="T150" i="59"/>
  <c r="N150" i="59" s="1"/>
  <c r="T152" i="46"/>
  <c r="N151" i="46"/>
  <c r="Q139" i="37"/>
  <c r="S139" i="58" s="1"/>
  <c r="N139" i="58" s="1"/>
  <c r="L138" i="37"/>
  <c r="Q139" i="22"/>
  <c r="T139" i="59" s="1"/>
  <c r="N139" i="59" s="1"/>
  <c r="L138" i="22"/>
  <c r="Q151" i="37"/>
  <c r="S151" i="58" s="1"/>
  <c r="N151" i="58" s="1"/>
  <c r="L150" i="37"/>
  <c r="T141" i="46"/>
  <c r="N140" i="46"/>
  <c r="S140" i="45"/>
  <c r="N139" i="45"/>
  <c r="S152" i="45"/>
  <c r="N151" i="45"/>
  <c r="Q151" i="22"/>
  <c r="L151" i="22" l="1"/>
  <c r="T151" i="59"/>
  <c r="N151" i="59" s="1"/>
  <c r="Q152" i="37"/>
  <c r="S152" i="58" s="1"/>
  <c r="N152" i="58" s="1"/>
  <c r="L151" i="37"/>
  <c r="Q140" i="37"/>
  <c r="S140" i="58" s="1"/>
  <c r="N140" i="58" s="1"/>
  <c r="L139" i="37"/>
  <c r="T142" i="46"/>
  <c r="N141" i="46"/>
  <c r="Q140" i="22"/>
  <c r="T140" i="59" s="1"/>
  <c r="N140" i="59" s="1"/>
  <c r="L139" i="22"/>
  <c r="T153" i="46"/>
  <c r="N152" i="46"/>
  <c r="S153" i="45"/>
  <c r="N152" i="45"/>
  <c r="S141" i="45"/>
  <c r="N140" i="45"/>
  <c r="Q152" i="22"/>
  <c r="L152" i="22" l="1"/>
  <c r="T152" i="59"/>
  <c r="N152" i="59" s="1"/>
  <c r="Q141" i="22"/>
  <c r="T141" i="59" s="1"/>
  <c r="N141" i="59" s="1"/>
  <c r="L140" i="22"/>
  <c r="Q141" i="37"/>
  <c r="S141" i="58" s="1"/>
  <c r="N141" i="58" s="1"/>
  <c r="L140" i="37"/>
  <c r="T154" i="46"/>
  <c r="N153" i="46"/>
  <c r="T143" i="46"/>
  <c r="N142" i="46"/>
  <c r="Q153" i="37"/>
  <c r="S153" i="58" s="1"/>
  <c r="N153" i="58" s="1"/>
  <c r="L152" i="37"/>
  <c r="S142" i="45"/>
  <c r="N141" i="45"/>
  <c r="S154" i="45"/>
  <c r="N153" i="45"/>
  <c r="Q153" i="22"/>
  <c r="L153" i="22" l="1"/>
  <c r="T153" i="59"/>
  <c r="N153" i="59" s="1"/>
  <c r="T144" i="46"/>
  <c r="N143" i="46"/>
  <c r="Q142" i="37"/>
  <c r="S142" i="58" s="1"/>
  <c r="N142" i="58" s="1"/>
  <c r="L141" i="37"/>
  <c r="Q154" i="37"/>
  <c r="S154" i="58" s="1"/>
  <c r="N154" i="58" s="1"/>
  <c r="L153" i="37"/>
  <c r="T155" i="46"/>
  <c r="N154" i="46"/>
  <c r="Q142" i="22"/>
  <c r="T142" i="59" s="1"/>
  <c r="N142" i="59" s="1"/>
  <c r="L141" i="22"/>
  <c r="S155" i="45"/>
  <c r="N154" i="45"/>
  <c r="S143" i="45"/>
  <c r="N142" i="45"/>
  <c r="Q154" i="22"/>
  <c r="L154" i="22" l="1"/>
  <c r="T154" i="59"/>
  <c r="N154" i="59" s="1"/>
  <c r="T156" i="46"/>
  <c r="N155" i="46"/>
  <c r="Q143" i="37"/>
  <c r="S143" i="58" s="1"/>
  <c r="N143" i="58" s="1"/>
  <c r="L142" i="37"/>
  <c r="Q143" i="22"/>
  <c r="T143" i="59" s="1"/>
  <c r="N143" i="59" s="1"/>
  <c r="L142" i="22"/>
  <c r="Q155" i="37"/>
  <c r="S155" i="58" s="1"/>
  <c r="N155" i="58" s="1"/>
  <c r="L154" i="37"/>
  <c r="T145" i="46"/>
  <c r="N144" i="46"/>
  <c r="S144" i="45"/>
  <c r="N143" i="45"/>
  <c r="S156" i="45"/>
  <c r="N155" i="45"/>
  <c r="Q155" i="22"/>
  <c r="L155" i="22" l="1"/>
  <c r="T155" i="59"/>
  <c r="N155" i="59" s="1"/>
  <c r="Q156" i="37"/>
  <c r="S156" i="58" s="1"/>
  <c r="N156" i="58" s="1"/>
  <c r="L155" i="37"/>
  <c r="Q144" i="37"/>
  <c r="S144" i="58" s="1"/>
  <c r="N144" i="58" s="1"/>
  <c r="L143" i="37"/>
  <c r="T146" i="46"/>
  <c r="N146" i="46" s="1"/>
  <c r="N145" i="46"/>
  <c r="Q144" i="22"/>
  <c r="T144" i="59" s="1"/>
  <c r="N144" i="59" s="1"/>
  <c r="L143" i="22"/>
  <c r="T157" i="46"/>
  <c r="N156" i="46"/>
  <c r="S157" i="45"/>
  <c r="N156" i="45"/>
  <c r="S145" i="45"/>
  <c r="N144" i="45"/>
  <c r="Q156" i="22"/>
  <c r="L156" i="22" l="1"/>
  <c r="T156" i="59"/>
  <c r="N156" i="59" s="1"/>
  <c r="Q145" i="22"/>
  <c r="T145" i="59" s="1"/>
  <c r="N145" i="59" s="1"/>
  <c r="L144" i="22"/>
  <c r="Q145" i="37"/>
  <c r="S145" i="58" s="1"/>
  <c r="N145" i="58" s="1"/>
  <c r="L144" i="37"/>
  <c r="T158" i="46"/>
  <c r="N158" i="46" s="1"/>
  <c r="N157" i="46"/>
  <c r="Q157" i="37"/>
  <c r="S157" i="58" s="1"/>
  <c r="N157" i="58" s="1"/>
  <c r="L156" i="37"/>
  <c r="S146" i="45"/>
  <c r="N146" i="45" s="1"/>
  <c r="N145" i="45"/>
  <c r="S158" i="45"/>
  <c r="N158" i="45" s="1"/>
  <c r="N157" i="45"/>
  <c r="Q157" i="22"/>
  <c r="L157" i="22" l="1"/>
  <c r="T157" i="59"/>
  <c r="N157" i="59" s="1"/>
  <c r="Q158" i="37"/>
  <c r="L157" i="37"/>
  <c r="Q146" i="37"/>
  <c r="L145" i="37"/>
  <c r="Q146" i="22"/>
  <c r="L145" i="22"/>
  <c r="Q158" i="22"/>
  <c r="L158" i="37" l="1"/>
  <c r="S158" i="58"/>
  <c r="N158" i="58" s="1"/>
  <c r="L146" i="22"/>
  <c r="T146" i="59"/>
  <c r="N146" i="59" s="1"/>
  <c r="L158" i="22"/>
  <c r="T158" i="59"/>
  <c r="N158" i="59" s="1"/>
  <c r="L146" i="37"/>
  <c r="S146" i="58"/>
  <c r="N146" i="58" s="1"/>
  <c r="S17" i="11"/>
  <c r="T22" i="11"/>
  <c r="T23" i="11"/>
  <c r="T18" i="11"/>
  <c r="A168" i="46" l="1"/>
  <c r="C158" i="46"/>
  <c r="B158" i="46"/>
  <c r="C157" i="46"/>
  <c r="B157" i="46"/>
  <c r="C156" i="46"/>
  <c r="B156" i="46"/>
  <c r="C155" i="46"/>
  <c r="B155" i="46"/>
  <c r="C154" i="46"/>
  <c r="B154" i="46"/>
  <c r="C153" i="46"/>
  <c r="B153" i="46"/>
  <c r="C152" i="46"/>
  <c r="B152" i="46"/>
  <c r="C151" i="46"/>
  <c r="B151" i="46"/>
  <c r="C150" i="46"/>
  <c r="B150" i="46"/>
  <c r="C149" i="46"/>
  <c r="B149" i="46"/>
  <c r="C148" i="46"/>
  <c r="B148" i="46"/>
  <c r="C147" i="46"/>
  <c r="B147" i="46"/>
  <c r="C146" i="46"/>
  <c r="B146" i="46"/>
  <c r="C145" i="46"/>
  <c r="B145" i="46"/>
  <c r="C144" i="46"/>
  <c r="B144" i="46"/>
  <c r="C143" i="46"/>
  <c r="B143" i="46"/>
  <c r="C142" i="46"/>
  <c r="B142" i="46"/>
  <c r="C141" i="46"/>
  <c r="B141" i="46"/>
  <c r="C140" i="46"/>
  <c r="B140" i="46"/>
  <c r="C139" i="46"/>
  <c r="B139" i="46"/>
  <c r="C138" i="46"/>
  <c r="B138" i="46"/>
  <c r="C137" i="46"/>
  <c r="B137" i="46"/>
  <c r="C136" i="46"/>
  <c r="B136" i="46"/>
  <c r="C135" i="46"/>
  <c r="B135" i="46"/>
  <c r="C127" i="46"/>
  <c r="B127" i="46"/>
  <c r="C126" i="46"/>
  <c r="B126" i="46"/>
  <c r="C125" i="46"/>
  <c r="B125" i="46"/>
  <c r="C124" i="46"/>
  <c r="B124" i="46"/>
  <c r="C123" i="46"/>
  <c r="B123" i="46"/>
  <c r="C122" i="46"/>
  <c r="B122" i="46"/>
  <c r="C121" i="46"/>
  <c r="B121" i="46"/>
  <c r="C120" i="46"/>
  <c r="B120" i="46"/>
  <c r="C119" i="46"/>
  <c r="B119" i="46"/>
  <c r="C118" i="46"/>
  <c r="B118" i="46"/>
  <c r="C117" i="46"/>
  <c r="B117" i="46"/>
  <c r="C116" i="46"/>
  <c r="B116" i="46"/>
  <c r="C115" i="46"/>
  <c r="B115" i="46"/>
  <c r="C114" i="46"/>
  <c r="B114" i="46"/>
  <c r="C113" i="46"/>
  <c r="B113" i="46"/>
  <c r="C112" i="46"/>
  <c r="B112" i="46"/>
  <c r="C111" i="46"/>
  <c r="B111" i="46"/>
  <c r="C110" i="46"/>
  <c r="B110" i="46"/>
  <c r="C109" i="46"/>
  <c r="B109" i="46"/>
  <c r="C108" i="46"/>
  <c r="B108" i="46"/>
  <c r="C107" i="46"/>
  <c r="B107" i="46"/>
  <c r="C106" i="46"/>
  <c r="B106" i="46"/>
  <c r="C105" i="46"/>
  <c r="B105" i="46"/>
  <c r="C104" i="46"/>
  <c r="B104" i="46"/>
  <c r="C103" i="46"/>
  <c r="B103" i="46"/>
  <c r="C102" i="46"/>
  <c r="B102" i="46"/>
  <c r="C101" i="46"/>
  <c r="B101" i="46"/>
  <c r="C100" i="46"/>
  <c r="B100" i="46"/>
  <c r="C99" i="46"/>
  <c r="B99" i="46"/>
  <c r="C98" i="46"/>
  <c r="B98" i="46"/>
  <c r="C97" i="46"/>
  <c r="B97" i="46"/>
  <c r="C96" i="46"/>
  <c r="B96" i="46"/>
  <c r="C95" i="46"/>
  <c r="B95" i="46"/>
  <c r="C94" i="46"/>
  <c r="B94" i="46"/>
  <c r="C93" i="46"/>
  <c r="B93" i="46"/>
  <c r="C92" i="46"/>
  <c r="B92" i="46"/>
  <c r="C91" i="46"/>
  <c r="B91" i="46"/>
  <c r="C90" i="46"/>
  <c r="B90" i="46"/>
  <c r="C89" i="46"/>
  <c r="B89" i="46"/>
  <c r="C88" i="46"/>
  <c r="B88" i="46"/>
  <c r="C87" i="46"/>
  <c r="B87" i="46"/>
  <c r="C86" i="46"/>
  <c r="B86" i="46"/>
  <c r="C85" i="46"/>
  <c r="B85" i="46"/>
  <c r="C84" i="46"/>
  <c r="B84" i="46"/>
  <c r="C83" i="46"/>
  <c r="B83" i="46"/>
  <c r="C82" i="46"/>
  <c r="B82" i="46"/>
  <c r="C81" i="46"/>
  <c r="B81" i="46"/>
  <c r="C80" i="46"/>
  <c r="B80" i="46"/>
  <c r="C79" i="46"/>
  <c r="B79" i="46"/>
  <c r="C78" i="46"/>
  <c r="B78" i="46"/>
  <c r="C77" i="46"/>
  <c r="B77" i="46"/>
  <c r="C76" i="46"/>
  <c r="B76" i="46"/>
  <c r="C75" i="46"/>
  <c r="B75" i="46"/>
  <c r="C74" i="46"/>
  <c r="B74" i="46"/>
  <c r="C73" i="46"/>
  <c r="B73" i="46"/>
  <c r="C72" i="46"/>
  <c r="B72" i="46"/>
  <c r="C71" i="46"/>
  <c r="B71" i="46"/>
  <c r="C70" i="46"/>
  <c r="B70" i="46"/>
  <c r="C69" i="46"/>
  <c r="B69" i="46"/>
  <c r="C68" i="46"/>
  <c r="B68" i="46"/>
  <c r="C67" i="46"/>
  <c r="B67" i="46"/>
  <c r="C66" i="46"/>
  <c r="B66" i="46"/>
  <c r="C65" i="46"/>
  <c r="B65" i="46"/>
  <c r="C64" i="46"/>
  <c r="B64" i="46"/>
  <c r="C63" i="46"/>
  <c r="B63" i="46"/>
  <c r="C62" i="46"/>
  <c r="B62" i="46"/>
  <c r="C61" i="46"/>
  <c r="B61" i="46"/>
  <c r="C60" i="46"/>
  <c r="B60" i="46"/>
  <c r="C59" i="46"/>
  <c r="B59" i="46"/>
  <c r="C58" i="46"/>
  <c r="B58" i="46"/>
  <c r="C57" i="46"/>
  <c r="B57" i="46"/>
  <c r="C56" i="46"/>
  <c r="B56" i="46"/>
  <c r="C55" i="46"/>
  <c r="B55" i="46"/>
  <c r="C54" i="46"/>
  <c r="B54" i="46"/>
  <c r="C53" i="46"/>
  <c r="B53" i="46"/>
  <c r="C52" i="46"/>
  <c r="B52" i="46"/>
  <c r="C51" i="46"/>
  <c r="B51" i="46"/>
  <c r="C50" i="46"/>
  <c r="B50" i="46"/>
  <c r="C49" i="46"/>
  <c r="B49" i="46"/>
  <c r="C48" i="46"/>
  <c r="B48" i="46"/>
  <c r="C47" i="46"/>
  <c r="B47" i="46"/>
  <c r="C46" i="46"/>
  <c r="B46" i="46"/>
  <c r="C45" i="46"/>
  <c r="B45" i="46"/>
  <c r="C44" i="46"/>
  <c r="B44" i="46"/>
  <c r="C43" i="46"/>
  <c r="B43" i="46"/>
  <c r="C42" i="46"/>
  <c r="B42" i="46"/>
  <c r="C41" i="46"/>
  <c r="B41" i="46"/>
  <c r="C40" i="46"/>
  <c r="B40" i="46"/>
  <c r="C39" i="46"/>
  <c r="B39" i="46"/>
  <c r="C38" i="46"/>
  <c r="B38" i="46"/>
  <c r="C37" i="46"/>
  <c r="B37" i="46"/>
  <c r="C36" i="46"/>
  <c r="B36" i="46"/>
  <c r="C35" i="46"/>
  <c r="B35" i="46"/>
  <c r="C34" i="46"/>
  <c r="B34" i="46"/>
  <c r="C33" i="46"/>
  <c r="B33" i="46"/>
  <c r="C32" i="46"/>
  <c r="B32" i="46"/>
  <c r="C31" i="46"/>
  <c r="B31" i="46"/>
  <c r="C30" i="46"/>
  <c r="B30" i="46"/>
  <c r="C29" i="46"/>
  <c r="B29" i="46"/>
  <c r="C28" i="46"/>
  <c r="B28" i="46"/>
  <c r="C27" i="46"/>
  <c r="B27" i="46"/>
  <c r="C26" i="46"/>
  <c r="B26" i="46"/>
  <c r="C25" i="46"/>
  <c r="B25" i="46"/>
  <c r="C24" i="46"/>
  <c r="B24" i="46"/>
  <c r="C23" i="46"/>
  <c r="B23" i="46"/>
  <c r="C22" i="46"/>
  <c r="B22" i="46"/>
  <c r="C21" i="46"/>
  <c r="B21" i="46"/>
  <c r="C20" i="46"/>
  <c r="B20" i="46"/>
  <c r="C19" i="46"/>
  <c r="B19" i="46"/>
  <c r="C18" i="46"/>
  <c r="B18" i="46"/>
  <c r="C17" i="46"/>
  <c r="B17" i="46"/>
  <c r="C16" i="46"/>
  <c r="B16" i="46"/>
  <c r="C15" i="46"/>
  <c r="B15" i="46"/>
  <c r="C14" i="46"/>
  <c r="B14" i="46"/>
  <c r="C13" i="46"/>
  <c r="B13" i="46"/>
  <c r="C12" i="46"/>
  <c r="B12" i="46"/>
  <c r="C11" i="46"/>
  <c r="B11" i="46"/>
  <c r="C10" i="46"/>
  <c r="B10" i="46"/>
  <c r="C9" i="46"/>
  <c r="B9" i="46"/>
  <c r="C8" i="46"/>
  <c r="B8" i="46"/>
  <c r="C7" i="46"/>
  <c r="B7" i="46"/>
  <c r="C6" i="46"/>
  <c r="B6" i="46"/>
  <c r="C5" i="46"/>
  <c r="B5" i="46"/>
  <c r="C4" i="46"/>
  <c r="B4" i="46"/>
  <c r="C3" i="46"/>
  <c r="B3" i="46"/>
  <c r="A167" i="45"/>
  <c r="C158" i="45"/>
  <c r="B158" i="45"/>
  <c r="C157" i="45"/>
  <c r="B157" i="45"/>
  <c r="C156" i="45"/>
  <c r="B156" i="45"/>
  <c r="C155" i="45"/>
  <c r="B155" i="45"/>
  <c r="C154" i="45"/>
  <c r="B154" i="45"/>
  <c r="C153" i="45"/>
  <c r="B153" i="45"/>
  <c r="C152" i="45"/>
  <c r="B152" i="45"/>
  <c r="C151" i="45"/>
  <c r="B151" i="45"/>
  <c r="C150" i="45"/>
  <c r="B150" i="45"/>
  <c r="C149" i="45"/>
  <c r="B149" i="45"/>
  <c r="C148" i="45"/>
  <c r="B148" i="45"/>
  <c r="C147" i="45"/>
  <c r="B147" i="45"/>
  <c r="C146" i="45"/>
  <c r="B146" i="45"/>
  <c r="C145" i="45"/>
  <c r="B145" i="45"/>
  <c r="C144" i="45"/>
  <c r="B144" i="45"/>
  <c r="C143" i="45"/>
  <c r="B143" i="45"/>
  <c r="C142" i="45"/>
  <c r="B142" i="45"/>
  <c r="C141" i="45"/>
  <c r="B141" i="45"/>
  <c r="C140" i="45"/>
  <c r="B140" i="45"/>
  <c r="C139" i="45"/>
  <c r="B139" i="45"/>
  <c r="C138" i="45"/>
  <c r="B138" i="45"/>
  <c r="C137" i="45"/>
  <c r="B137" i="45"/>
  <c r="C136" i="45"/>
  <c r="B136" i="45"/>
  <c r="C135" i="45"/>
  <c r="B135" i="45"/>
  <c r="C127" i="45"/>
  <c r="B127" i="45"/>
  <c r="C126" i="45"/>
  <c r="B126" i="45"/>
  <c r="C125" i="45"/>
  <c r="B125" i="45"/>
  <c r="C124" i="45"/>
  <c r="B124" i="45"/>
  <c r="C123" i="45"/>
  <c r="B123" i="45"/>
  <c r="C122" i="45"/>
  <c r="B122" i="45"/>
  <c r="C121" i="45"/>
  <c r="B121" i="45"/>
  <c r="C120" i="45"/>
  <c r="B120" i="45"/>
  <c r="C119" i="45"/>
  <c r="B119" i="45"/>
  <c r="C118" i="45"/>
  <c r="B118" i="45"/>
  <c r="C117" i="45"/>
  <c r="B117" i="45"/>
  <c r="C116" i="45"/>
  <c r="B116" i="45"/>
  <c r="C115" i="45"/>
  <c r="B115" i="45"/>
  <c r="C114" i="45"/>
  <c r="B114" i="45"/>
  <c r="C113" i="45"/>
  <c r="B113" i="45"/>
  <c r="C112" i="45"/>
  <c r="B112" i="45"/>
  <c r="C111" i="45"/>
  <c r="B111" i="45"/>
  <c r="C110" i="45"/>
  <c r="B110" i="45"/>
  <c r="C109" i="45"/>
  <c r="B109" i="45"/>
  <c r="C108" i="45"/>
  <c r="B108" i="45"/>
  <c r="C107" i="45"/>
  <c r="B107" i="45"/>
  <c r="C106" i="45"/>
  <c r="B106" i="45"/>
  <c r="C105" i="45"/>
  <c r="B105" i="45"/>
  <c r="C104" i="45"/>
  <c r="B104" i="45"/>
  <c r="C103" i="45"/>
  <c r="B103" i="45"/>
  <c r="C102" i="45"/>
  <c r="B102" i="45"/>
  <c r="C101" i="45"/>
  <c r="B101" i="45"/>
  <c r="C100" i="45"/>
  <c r="B100" i="45"/>
  <c r="C99" i="45"/>
  <c r="B99" i="45"/>
  <c r="C98" i="45"/>
  <c r="B98" i="45"/>
  <c r="C97" i="45"/>
  <c r="B97" i="45"/>
  <c r="C96" i="45"/>
  <c r="B96" i="45"/>
  <c r="C95" i="45"/>
  <c r="B95" i="45"/>
  <c r="C94" i="45"/>
  <c r="B94" i="45"/>
  <c r="C93" i="45"/>
  <c r="B93" i="45"/>
  <c r="C92" i="45"/>
  <c r="B92" i="45"/>
  <c r="C91" i="45"/>
  <c r="B91" i="45"/>
  <c r="C90" i="45"/>
  <c r="B90" i="45"/>
  <c r="C89" i="45"/>
  <c r="B89" i="45"/>
  <c r="C88" i="45"/>
  <c r="B88" i="45"/>
  <c r="C87" i="45"/>
  <c r="B87" i="45"/>
  <c r="C86" i="45"/>
  <c r="B86" i="45"/>
  <c r="C85" i="45"/>
  <c r="B85" i="45"/>
  <c r="C84" i="45"/>
  <c r="B84" i="45"/>
  <c r="C83" i="45"/>
  <c r="B83" i="45"/>
  <c r="C82" i="45"/>
  <c r="B82" i="45"/>
  <c r="C81" i="45"/>
  <c r="B81" i="45"/>
  <c r="C80" i="45"/>
  <c r="B80" i="45"/>
  <c r="C79" i="45"/>
  <c r="B79" i="45"/>
  <c r="C78" i="45"/>
  <c r="B78" i="45"/>
  <c r="C77" i="45"/>
  <c r="B77" i="45"/>
  <c r="C76" i="45"/>
  <c r="B76" i="45"/>
  <c r="C75" i="45"/>
  <c r="B75" i="45"/>
  <c r="C74" i="45"/>
  <c r="B74" i="45"/>
  <c r="C73" i="45"/>
  <c r="B73" i="45"/>
  <c r="C72" i="45"/>
  <c r="B72" i="45"/>
  <c r="C71" i="45"/>
  <c r="B71" i="45"/>
  <c r="C70" i="45"/>
  <c r="B70" i="45"/>
  <c r="C69" i="45"/>
  <c r="B69" i="45"/>
  <c r="C68" i="45"/>
  <c r="B68" i="45"/>
  <c r="C67" i="45"/>
  <c r="B67" i="45"/>
  <c r="C66" i="45"/>
  <c r="B66" i="45"/>
  <c r="C65" i="45"/>
  <c r="B65" i="45"/>
  <c r="C64" i="45"/>
  <c r="B64" i="45"/>
  <c r="C63" i="45"/>
  <c r="B63" i="45"/>
  <c r="C62" i="45"/>
  <c r="B62" i="45"/>
  <c r="C61" i="45"/>
  <c r="B61" i="45"/>
  <c r="C60" i="45"/>
  <c r="B60" i="45"/>
  <c r="C59" i="45"/>
  <c r="B59" i="45"/>
  <c r="C58" i="45"/>
  <c r="B58" i="45"/>
  <c r="C57" i="45"/>
  <c r="B57" i="45"/>
  <c r="C56" i="45"/>
  <c r="B56" i="45"/>
  <c r="C55" i="45"/>
  <c r="B55" i="45"/>
  <c r="C54" i="45"/>
  <c r="B54" i="45"/>
  <c r="C53" i="45"/>
  <c r="B53" i="45"/>
  <c r="C52" i="45"/>
  <c r="B52" i="45"/>
  <c r="C51" i="45"/>
  <c r="B51" i="45"/>
  <c r="C50" i="45"/>
  <c r="B50" i="45"/>
  <c r="C49" i="45"/>
  <c r="B49" i="45"/>
  <c r="C48" i="45"/>
  <c r="B48" i="45"/>
  <c r="C47" i="45"/>
  <c r="B47" i="45"/>
  <c r="C46" i="45"/>
  <c r="B46" i="45"/>
  <c r="C45" i="45"/>
  <c r="B45" i="45"/>
  <c r="C44" i="45"/>
  <c r="B44" i="45"/>
  <c r="C43" i="45"/>
  <c r="B43" i="45"/>
  <c r="C42" i="45"/>
  <c r="B42" i="45"/>
  <c r="C41" i="45"/>
  <c r="B41" i="45"/>
  <c r="C40" i="45"/>
  <c r="B40" i="45"/>
  <c r="C39" i="45"/>
  <c r="B39" i="45"/>
  <c r="C38" i="45"/>
  <c r="B38" i="45"/>
  <c r="C37" i="45"/>
  <c r="B37" i="45"/>
  <c r="C36" i="45"/>
  <c r="B36" i="45"/>
  <c r="C35" i="45"/>
  <c r="B35" i="45"/>
  <c r="C34" i="45"/>
  <c r="B34" i="45"/>
  <c r="C33" i="45"/>
  <c r="B33" i="45"/>
  <c r="C32" i="45"/>
  <c r="B32" i="45"/>
  <c r="C31" i="45"/>
  <c r="B31" i="45"/>
  <c r="C30" i="45"/>
  <c r="B30" i="45"/>
  <c r="C29" i="45"/>
  <c r="B29" i="45"/>
  <c r="C28" i="45"/>
  <c r="B28" i="45"/>
  <c r="C27" i="45"/>
  <c r="B27" i="45"/>
  <c r="C26" i="45"/>
  <c r="B26" i="45"/>
  <c r="C25" i="45"/>
  <c r="B25" i="45"/>
  <c r="C24" i="45"/>
  <c r="B24" i="45"/>
  <c r="C23" i="45"/>
  <c r="B23" i="45"/>
  <c r="C22" i="45"/>
  <c r="B22" i="45"/>
  <c r="C21" i="45"/>
  <c r="B21" i="45"/>
  <c r="C20" i="45"/>
  <c r="B20" i="45"/>
  <c r="C19" i="45"/>
  <c r="B19" i="45"/>
  <c r="C18" i="45"/>
  <c r="B18" i="45"/>
  <c r="C17" i="45"/>
  <c r="B17" i="45"/>
  <c r="C16" i="45"/>
  <c r="B16" i="45"/>
  <c r="C15" i="45"/>
  <c r="B15" i="45"/>
  <c r="C14" i="45"/>
  <c r="B14" i="45"/>
  <c r="C13" i="45"/>
  <c r="B13" i="45"/>
  <c r="C12" i="45"/>
  <c r="B12" i="45"/>
  <c r="C11" i="45"/>
  <c r="B11" i="45"/>
  <c r="C10" i="45"/>
  <c r="B10" i="45"/>
  <c r="C9" i="45"/>
  <c r="B9" i="45"/>
  <c r="C8" i="45"/>
  <c r="B8" i="45"/>
  <c r="C7" i="45"/>
  <c r="B7" i="45"/>
  <c r="C6" i="45"/>
  <c r="B6" i="45"/>
  <c r="C5" i="45"/>
  <c r="B5" i="45"/>
  <c r="C4" i="45"/>
  <c r="B4" i="45"/>
  <c r="C3" i="45"/>
  <c r="B3" i="45"/>
  <c r="D21" i="11"/>
  <c r="E21" i="11"/>
  <c r="F21" i="11"/>
  <c r="D26" i="11"/>
  <c r="E26" i="11"/>
  <c r="F26" i="11"/>
  <c r="D31" i="11"/>
  <c r="E31" i="11"/>
  <c r="F31" i="11"/>
  <c r="D36" i="11"/>
  <c r="E36" i="11"/>
  <c r="F36" i="11"/>
  <c r="D41" i="11"/>
  <c r="E41" i="11"/>
  <c r="F41" i="11"/>
  <c r="G41" i="11"/>
  <c r="H41" i="11"/>
  <c r="I41" i="11"/>
  <c r="J41" i="11"/>
  <c r="K41" i="11"/>
  <c r="L41" i="11"/>
  <c r="M41" i="11"/>
  <c r="C41" i="11"/>
  <c r="C36" i="11"/>
  <c r="C31" i="11"/>
  <c r="C26" i="11"/>
  <c r="C21" i="11"/>
  <c r="D25" i="11"/>
  <c r="E25" i="11"/>
  <c r="F25" i="11"/>
  <c r="D30" i="11"/>
  <c r="E30" i="11"/>
  <c r="F30" i="11"/>
  <c r="D35" i="11"/>
  <c r="E35" i="11"/>
  <c r="F35" i="11"/>
  <c r="D40" i="11"/>
  <c r="E40" i="11"/>
  <c r="F40" i="11"/>
  <c r="D45" i="11"/>
  <c r="E45" i="11"/>
  <c r="F45" i="11"/>
  <c r="G45" i="11"/>
  <c r="C45" i="11"/>
  <c r="C40" i="11"/>
  <c r="C35" i="11"/>
  <c r="C30" i="11"/>
  <c r="C25" i="11"/>
  <c r="D15" i="11"/>
  <c r="E15" i="11"/>
  <c r="F15" i="11"/>
  <c r="D19" i="11"/>
  <c r="E19" i="11"/>
  <c r="F19" i="11"/>
  <c r="D24" i="11"/>
  <c r="E24" i="11"/>
  <c r="F24" i="11"/>
  <c r="D29" i="11"/>
  <c r="E29" i="11"/>
  <c r="F29" i="11"/>
  <c r="D34" i="11"/>
  <c r="E34" i="11"/>
  <c r="F34" i="11"/>
  <c r="D39" i="11"/>
  <c r="E39" i="11"/>
  <c r="F39" i="11"/>
  <c r="D44" i="11"/>
  <c r="E44" i="11"/>
  <c r="F44" i="11"/>
  <c r="C44" i="11"/>
  <c r="C39" i="11"/>
  <c r="C34" i="11"/>
  <c r="C29" i="11"/>
  <c r="C24" i="11"/>
  <c r="C19" i="11"/>
  <c r="C15" i="11"/>
  <c r="E21" i="18"/>
  <c r="E22" i="18"/>
  <c r="E23" i="18"/>
  <c r="E24" i="18"/>
  <c r="F21" i="18"/>
  <c r="F22" i="18"/>
  <c r="F23" i="18"/>
  <c r="F24" i="18"/>
  <c r="F28" i="9"/>
  <c r="G28" i="9"/>
  <c r="H28" i="9"/>
  <c r="I28" i="9"/>
  <c r="J28" i="9"/>
  <c r="F29" i="9"/>
  <c r="G29" i="9"/>
  <c r="H29" i="9"/>
  <c r="I29" i="9"/>
  <c r="J29" i="9"/>
  <c r="F30" i="9"/>
  <c r="G30" i="9"/>
  <c r="H30" i="9"/>
  <c r="I30" i="9"/>
  <c r="J30" i="9"/>
  <c r="J27" i="9"/>
  <c r="F27" i="9"/>
  <c r="G27" i="9"/>
  <c r="H27" i="9"/>
  <c r="I27" i="9"/>
  <c r="A168" i="22"/>
  <c r="A169" i="22" s="1"/>
  <c r="A167" i="37"/>
  <c r="A170" i="22" l="1"/>
  <c r="A171" i="22" s="1"/>
  <c r="A168" i="45"/>
  <c r="A169" i="46"/>
  <c r="A172" i="22"/>
  <c r="A168" i="37"/>
  <c r="A170" i="46" l="1"/>
  <c r="A169" i="45"/>
  <c r="A173" i="22"/>
  <c r="A169" i="37"/>
  <c r="A170" i="45" l="1"/>
  <c r="A171" i="46"/>
  <c r="A174" i="22"/>
  <c r="A170" i="37"/>
  <c r="A172" i="46" l="1"/>
  <c r="D171" i="46"/>
  <c r="A171" i="45"/>
  <c r="D170" i="45"/>
  <c r="A175" i="22"/>
  <c r="A171" i="37"/>
  <c r="A172" i="45" l="1"/>
  <c r="D171" i="45"/>
  <c r="D172" i="46"/>
  <c r="A173" i="46"/>
  <c r="A176" i="22"/>
  <c r="A172" i="37"/>
  <c r="D173" i="46" l="1"/>
  <c r="A174" i="46"/>
  <c r="D172" i="45"/>
  <c r="A173" i="45"/>
  <c r="A177" i="22"/>
  <c r="A173" i="37"/>
  <c r="A175" i="46" l="1"/>
  <c r="D174" i="46"/>
  <c r="D173" i="45"/>
  <c r="A174" i="45"/>
  <c r="A178" i="22"/>
  <c r="A174" i="37"/>
  <c r="A175" i="45" l="1"/>
  <c r="D174" i="45"/>
  <c r="A176" i="46"/>
  <c r="D175" i="46"/>
  <c r="A179" i="22"/>
  <c r="A175" i="37"/>
  <c r="D176" i="46" l="1"/>
  <c r="A177" i="46"/>
  <c r="A176" i="45"/>
  <c r="D175" i="45"/>
  <c r="A176" i="37"/>
  <c r="D176" i="45" l="1"/>
  <c r="A177" i="45"/>
  <c r="D177" i="46"/>
  <c r="A178" i="46"/>
  <c r="A177" i="37"/>
  <c r="A178" i="37" s="1"/>
  <c r="A178" i="45" l="1"/>
  <c r="A179" i="46"/>
  <c r="C21" i="18" l="1"/>
  <c r="D21" i="18"/>
  <c r="C22" i="18"/>
  <c r="D22" i="18"/>
  <c r="C23" i="18"/>
  <c r="D23" i="18"/>
  <c r="C24" i="18"/>
  <c r="D24" i="18"/>
  <c r="A7" i="9"/>
  <c r="B135" i="22"/>
  <c r="C135" i="22"/>
  <c r="B136" i="22"/>
  <c r="C136" i="22"/>
  <c r="B137" i="22"/>
  <c r="C137" i="22"/>
  <c r="B138" i="22"/>
  <c r="C138" i="22"/>
  <c r="B139" i="22"/>
  <c r="C139" i="22"/>
  <c r="B140" i="22"/>
  <c r="C140" i="22"/>
  <c r="B141" i="22"/>
  <c r="C141" i="22"/>
  <c r="B142" i="22"/>
  <c r="C142" i="22"/>
  <c r="B143" i="22"/>
  <c r="C143" i="22"/>
  <c r="B144" i="22"/>
  <c r="C144" i="22"/>
  <c r="B145" i="22"/>
  <c r="C145" i="22"/>
  <c r="B146" i="22"/>
  <c r="C146" i="22"/>
  <c r="B147" i="22"/>
  <c r="C147" i="22"/>
  <c r="B148" i="22"/>
  <c r="C148" i="22"/>
  <c r="B149" i="22"/>
  <c r="C149" i="22"/>
  <c r="B150" i="22"/>
  <c r="C150" i="22"/>
  <c r="B151" i="22"/>
  <c r="C151" i="22"/>
  <c r="B152" i="22"/>
  <c r="C152" i="22"/>
  <c r="B153" i="22"/>
  <c r="C153" i="22"/>
  <c r="B154" i="22"/>
  <c r="C154" i="22"/>
  <c r="B155" i="22"/>
  <c r="C155" i="22"/>
  <c r="B156" i="22"/>
  <c r="C156" i="22"/>
  <c r="B157" i="22"/>
  <c r="C157" i="22"/>
  <c r="B158" i="22"/>
  <c r="C158" i="22"/>
  <c r="E148" i="59" l="1"/>
  <c r="E149" i="59" s="1"/>
  <c r="E150" i="59" s="1"/>
  <c r="E151" i="59" s="1"/>
  <c r="E152" i="59" s="1"/>
  <c r="E153" i="59" s="1"/>
  <c r="E154" i="59" s="1"/>
  <c r="E155" i="59" s="1"/>
  <c r="E156" i="59" s="1"/>
  <c r="E157" i="59" s="1"/>
  <c r="E158" i="59" s="1"/>
  <c r="E148" i="46"/>
  <c r="E149" i="46" s="1"/>
  <c r="E150" i="46" s="1"/>
  <c r="E151" i="46" s="1"/>
  <c r="E152" i="46" s="1"/>
  <c r="E153" i="46" s="1"/>
  <c r="E154" i="46" s="1"/>
  <c r="E155" i="46" s="1"/>
  <c r="E156" i="46" s="1"/>
  <c r="E157" i="46" s="1"/>
  <c r="E158" i="46" s="1"/>
  <c r="E148" i="22"/>
  <c r="E149" i="22" s="1"/>
  <c r="E150" i="22" s="1"/>
  <c r="E151" i="22" s="1"/>
  <c r="E152" i="22" s="1"/>
  <c r="E153" i="22" s="1"/>
  <c r="E154" i="22" s="1"/>
  <c r="E155" i="22" s="1"/>
  <c r="E156" i="22" s="1"/>
  <c r="E157" i="22" s="1"/>
  <c r="E158" i="22" s="1"/>
  <c r="E148" i="58"/>
  <c r="E149" i="58" s="1"/>
  <c r="E150" i="58" s="1"/>
  <c r="E151" i="58" s="1"/>
  <c r="E152" i="58" s="1"/>
  <c r="E153" i="58" s="1"/>
  <c r="E154" i="58" s="1"/>
  <c r="E155" i="58" s="1"/>
  <c r="E156" i="58" s="1"/>
  <c r="E157" i="58" s="1"/>
  <c r="E158" i="58" s="1"/>
  <c r="E148" i="45"/>
  <c r="E149" i="45" s="1"/>
  <c r="E150" i="45" s="1"/>
  <c r="E151" i="45" s="1"/>
  <c r="E152" i="45" s="1"/>
  <c r="E153" i="45" s="1"/>
  <c r="E154" i="45" s="1"/>
  <c r="E155" i="45" s="1"/>
  <c r="E156" i="45" s="1"/>
  <c r="E157" i="45" s="1"/>
  <c r="E158" i="45" s="1"/>
  <c r="E148" i="37"/>
  <c r="E149" i="37" s="1"/>
  <c r="E150" i="37" s="1"/>
  <c r="E151" i="37" s="1"/>
  <c r="E152" i="37" s="1"/>
  <c r="E153" i="37" s="1"/>
  <c r="E154" i="37" s="1"/>
  <c r="E155" i="37" s="1"/>
  <c r="E156" i="37" s="1"/>
  <c r="E157" i="37" s="1"/>
  <c r="E158" i="37" s="1"/>
  <c r="E136" i="59"/>
  <c r="E137" i="59" s="1"/>
  <c r="E138" i="59" s="1"/>
  <c r="E139" i="59" s="1"/>
  <c r="E140" i="59" s="1"/>
  <c r="E141" i="59" s="1"/>
  <c r="E142" i="59" s="1"/>
  <c r="E143" i="59" s="1"/>
  <c r="E144" i="59" s="1"/>
  <c r="E145" i="59" s="1"/>
  <c r="E146" i="59" s="1"/>
  <c r="E136" i="46"/>
  <c r="E137" i="46" s="1"/>
  <c r="E138" i="46" s="1"/>
  <c r="E139" i="46" s="1"/>
  <c r="E140" i="46" s="1"/>
  <c r="E141" i="46" s="1"/>
  <c r="E142" i="46" s="1"/>
  <c r="E143" i="46" s="1"/>
  <c r="E144" i="46" s="1"/>
  <c r="E145" i="46" s="1"/>
  <c r="E146" i="46" s="1"/>
  <c r="E136" i="22"/>
  <c r="E137" i="22" s="1"/>
  <c r="E138" i="22" s="1"/>
  <c r="E139" i="22" s="1"/>
  <c r="E140" i="22" s="1"/>
  <c r="E141" i="22" s="1"/>
  <c r="E142" i="22" s="1"/>
  <c r="E143" i="22" s="1"/>
  <c r="E144" i="22" s="1"/>
  <c r="E145" i="22" s="1"/>
  <c r="E146" i="22" s="1"/>
  <c r="E136" i="58"/>
  <c r="E137" i="58" s="1"/>
  <c r="E138" i="58" s="1"/>
  <c r="E139" i="58" s="1"/>
  <c r="E140" i="58" s="1"/>
  <c r="E141" i="58" s="1"/>
  <c r="E142" i="58" s="1"/>
  <c r="E143" i="58" s="1"/>
  <c r="E144" i="58" s="1"/>
  <c r="E145" i="58" s="1"/>
  <c r="E146" i="58" s="1"/>
  <c r="E136" i="37"/>
  <c r="E137" i="37" s="1"/>
  <c r="E138" i="37" s="1"/>
  <c r="E139" i="37" s="1"/>
  <c r="E140" i="37" s="1"/>
  <c r="E141" i="37" s="1"/>
  <c r="E142" i="37" s="1"/>
  <c r="E143" i="37" s="1"/>
  <c r="E144" i="37" s="1"/>
  <c r="E145" i="37" s="1"/>
  <c r="E146" i="37" s="1"/>
  <c r="E136" i="45"/>
  <c r="E137" i="45" s="1"/>
  <c r="E138" i="45" s="1"/>
  <c r="E139" i="45" s="1"/>
  <c r="E140" i="45" s="1"/>
  <c r="E141" i="45" s="1"/>
  <c r="E142" i="45" s="1"/>
  <c r="E143" i="45" s="1"/>
  <c r="E144" i="45" s="1"/>
  <c r="E145" i="45" s="1"/>
  <c r="E146" i="45" s="1"/>
  <c r="A8" i="9"/>
  <c r="A9" i="9" l="1"/>
  <c r="A10" i="9" l="1"/>
  <c r="A11" i="9" l="1"/>
  <c r="G40" i="11" l="1"/>
  <c r="F25" i="18"/>
  <c r="A12" i="9"/>
  <c r="H40" i="11" l="1"/>
  <c r="F26" i="18"/>
  <c r="A13" i="9"/>
  <c r="F27" i="18" l="1"/>
  <c r="I40" i="11"/>
  <c r="A14" i="9"/>
  <c r="F28" i="18" l="1"/>
  <c r="J40" i="11"/>
  <c r="A15" i="9"/>
  <c r="F29" i="18" l="1"/>
  <c r="F38" i="18" s="1"/>
  <c r="K40" i="11"/>
  <c r="A16" i="9"/>
  <c r="F30" i="18" l="1"/>
  <c r="F35" i="18" s="1"/>
  <c r="L40" i="11"/>
  <c r="A17" i="9"/>
  <c r="A18" i="9" l="1"/>
  <c r="F33" i="18"/>
  <c r="F32" i="18"/>
  <c r="M40" i="11"/>
  <c r="F31" i="18"/>
  <c r="F37" i="18" s="1"/>
  <c r="F39" i="18" l="1"/>
  <c r="E172" i="59" l="1"/>
  <c r="E172" i="58"/>
  <c r="E174" i="58"/>
  <c r="E176" i="58"/>
  <c r="E174" i="59"/>
  <c r="E176" i="59"/>
  <c r="E170" i="58"/>
  <c r="E169" i="59"/>
  <c r="E168" i="58"/>
  <c r="E169" i="58"/>
  <c r="E171" i="59"/>
  <c r="E173" i="59"/>
  <c r="E175" i="59"/>
  <c r="E177" i="59"/>
  <c r="E166" i="58"/>
  <c r="E167" i="58"/>
  <c r="E171" i="58"/>
  <c r="E173" i="58"/>
  <c r="E175" i="58"/>
  <c r="G16" i="11"/>
  <c r="G25" i="11"/>
  <c r="C12" i="11"/>
  <c r="G20" i="11"/>
  <c r="G35" i="11"/>
  <c r="F12" i="11"/>
  <c r="E12" i="11"/>
  <c r="G12" i="11"/>
  <c r="D12" i="11"/>
  <c r="G30" i="11"/>
  <c r="L30" i="11"/>
  <c r="K20" i="11"/>
  <c r="I30" i="11"/>
  <c r="H30" i="11"/>
  <c r="L31" i="11"/>
  <c r="D30" i="18"/>
  <c r="D27" i="9"/>
  <c r="C16" i="11"/>
  <c r="M25" i="11"/>
  <c r="D169" i="46"/>
  <c r="D167" i="46"/>
  <c r="L25" i="11"/>
  <c r="L16" i="11"/>
  <c r="K12" i="11"/>
  <c r="K16" i="11"/>
  <c r="J45" i="11"/>
  <c r="J30" i="11"/>
  <c r="I35" i="11"/>
  <c r="H20" i="11"/>
  <c r="H12" i="11"/>
  <c r="D29" i="9"/>
  <c r="E16" i="11"/>
  <c r="D20" i="11"/>
  <c r="B22" i="18"/>
  <c r="E28" i="9"/>
  <c r="J26" i="11"/>
  <c r="C28" i="18"/>
  <c r="G10" i="18"/>
  <c r="K55" i="11" s="1"/>
  <c r="K21" i="11"/>
  <c r="B29" i="18"/>
  <c r="K26" i="11"/>
  <c r="C29" i="18"/>
  <c r="J36" i="11"/>
  <c r="E28" i="18"/>
  <c r="G11" i="18"/>
  <c r="L55" i="11" s="1"/>
  <c r="L21" i="11"/>
  <c r="B30" i="18"/>
  <c r="I26" i="11"/>
  <c r="C27" i="18"/>
  <c r="M31" i="11"/>
  <c r="D31" i="18"/>
  <c r="M30" i="11"/>
  <c r="M36" i="11"/>
  <c r="E31" i="18"/>
  <c r="D168" i="45"/>
  <c r="D166" i="45"/>
  <c r="M45" i="11"/>
  <c r="J12" i="11"/>
  <c r="I45" i="11"/>
  <c r="F16" i="11"/>
  <c r="D30" i="9"/>
  <c r="G26" i="11"/>
  <c r="C25" i="18"/>
  <c r="J31" i="11"/>
  <c r="D28" i="18"/>
  <c r="M26" i="11"/>
  <c r="C31" i="18"/>
  <c r="L12" i="11"/>
  <c r="L35" i="11"/>
  <c r="K25" i="11"/>
  <c r="K35" i="11"/>
  <c r="J25" i="11"/>
  <c r="I25" i="11"/>
  <c r="I16" i="11"/>
  <c r="H25" i="11"/>
  <c r="H16" i="11"/>
  <c r="D28" i="9"/>
  <c r="D16" i="11"/>
  <c r="L36" i="11"/>
  <c r="E30" i="18"/>
  <c r="H36" i="11"/>
  <c r="E26" i="18"/>
  <c r="I36" i="11"/>
  <c r="E27" i="18"/>
  <c r="G6" i="18"/>
  <c r="G55" i="11" s="1"/>
  <c r="G21" i="11"/>
  <c r="B25" i="18"/>
  <c r="I31" i="11"/>
  <c r="D27" i="18"/>
  <c r="G7" i="18"/>
  <c r="H55" i="11" s="1"/>
  <c r="H21" i="11"/>
  <c r="B26" i="18"/>
  <c r="G36" i="11"/>
  <c r="E25" i="18"/>
  <c r="M35" i="11"/>
  <c r="K45" i="11"/>
  <c r="J20" i="11"/>
  <c r="K31" i="11"/>
  <c r="D29" i="18"/>
  <c r="L26" i="11"/>
  <c r="C30" i="18"/>
  <c r="D168" i="46"/>
  <c r="D170" i="46"/>
  <c r="L20" i="11"/>
  <c r="L45" i="11"/>
  <c r="K30" i="11"/>
  <c r="J16" i="11"/>
  <c r="J35" i="11"/>
  <c r="I20" i="11"/>
  <c r="I12" i="11"/>
  <c r="H45" i="11"/>
  <c r="H35" i="11"/>
  <c r="F20" i="11"/>
  <c r="B24" i="18"/>
  <c r="E30" i="9"/>
  <c r="E20" i="11"/>
  <c r="B23" i="18"/>
  <c r="E29" i="9"/>
  <c r="G31" i="11"/>
  <c r="D25" i="18"/>
  <c r="G9" i="18"/>
  <c r="J55" i="11" s="1"/>
  <c r="J21" i="11"/>
  <c r="B28" i="18"/>
  <c r="H31" i="11"/>
  <c r="D26" i="18"/>
  <c r="I21" i="11"/>
  <c r="G8" i="18"/>
  <c r="I55" i="11" s="1"/>
  <c r="B27" i="18"/>
  <c r="H26" i="11"/>
  <c r="C26" i="18"/>
  <c r="K36" i="11"/>
  <c r="E29" i="18"/>
  <c r="C20" i="11"/>
  <c r="E27" i="9"/>
  <c r="B21" i="18"/>
  <c r="M21" i="11"/>
  <c r="G12" i="18"/>
  <c r="M55" i="11" s="1"/>
  <c r="D169" i="45"/>
  <c r="D167" i="45"/>
  <c r="C39" i="18" l="1"/>
  <c r="E167" i="59"/>
  <c r="D39" i="18"/>
  <c r="E168" i="59"/>
  <c r="F177" i="59"/>
  <c r="F168" i="59"/>
  <c r="E170" i="59"/>
  <c r="F169" i="59"/>
  <c r="F170" i="59"/>
  <c r="F167" i="59"/>
  <c r="F173" i="59"/>
  <c r="F175" i="59"/>
  <c r="F174" i="59"/>
  <c r="F171" i="59"/>
  <c r="F172" i="59"/>
  <c r="F176" i="59"/>
  <c r="E38" i="18"/>
  <c r="E176" i="46"/>
  <c r="E172" i="46"/>
  <c r="E168" i="46"/>
  <c r="E168" i="45"/>
  <c r="D35" i="18"/>
  <c r="C38" i="18"/>
  <c r="E175" i="45"/>
  <c r="E173" i="45"/>
  <c r="D37" i="18"/>
  <c r="E175" i="46"/>
  <c r="E171" i="46"/>
  <c r="D38" i="18"/>
  <c r="E176" i="45"/>
  <c r="E172" i="45"/>
  <c r="F171" i="46"/>
  <c r="E169" i="46"/>
  <c r="E167" i="46"/>
  <c r="E37" i="18"/>
  <c r="E35" i="18" s="1"/>
  <c r="E39" i="18"/>
  <c r="C35" i="18"/>
  <c r="E174" i="46"/>
  <c r="E171" i="45"/>
  <c r="E169" i="45"/>
  <c r="E177" i="46"/>
  <c r="E173" i="46"/>
  <c r="E174" i="45"/>
  <c r="E170" i="45"/>
  <c r="E166" i="45"/>
  <c r="C37" i="18"/>
  <c r="B38" i="18"/>
  <c r="E170" i="46"/>
  <c r="F177" i="46"/>
  <c r="E167" i="45"/>
  <c r="F172" i="46"/>
  <c r="F175" i="46"/>
  <c r="F173" i="46"/>
  <c r="F173" i="45"/>
  <c r="F174" i="45"/>
  <c r="F172" i="45"/>
  <c r="F170" i="45"/>
  <c r="F175" i="45"/>
  <c r="F171" i="45"/>
  <c r="F176" i="46" l="1"/>
  <c r="F171" i="58"/>
  <c r="F174" i="46"/>
  <c r="F173" i="58"/>
  <c r="F166" i="58"/>
  <c r="F170" i="58"/>
  <c r="F175" i="58"/>
  <c r="F176" i="58"/>
  <c r="F172" i="58"/>
  <c r="F169" i="58"/>
  <c r="F174" i="58"/>
  <c r="F167" i="58"/>
  <c r="F168" i="58"/>
  <c r="F176" i="45"/>
  <c r="F169" i="46"/>
  <c r="F168" i="46"/>
  <c r="F170" i="46"/>
  <c r="D32" i="18"/>
  <c r="D33" i="18"/>
  <c r="E32" i="18"/>
  <c r="E33" i="18"/>
  <c r="C32" i="18"/>
  <c r="C33" i="18"/>
  <c r="F169" i="45"/>
  <c r="F167" i="45"/>
  <c r="F166" i="45"/>
  <c r="F167" i="46"/>
  <c r="F168" i="45"/>
  <c r="B126" i="22" l="1"/>
  <c r="C126" i="22"/>
  <c r="B127" i="22"/>
  <c r="C127" i="22"/>
  <c r="B19" i="22"/>
  <c r="C19" i="22"/>
  <c r="B20" i="22"/>
  <c r="C20" i="22"/>
  <c r="B21" i="22"/>
  <c r="C21" i="22"/>
  <c r="B22" i="22"/>
  <c r="C22" i="22"/>
  <c r="B23" i="22"/>
  <c r="C23" i="22"/>
  <c r="B24" i="22"/>
  <c r="C24" i="22"/>
  <c r="B25" i="22"/>
  <c r="C25" i="22"/>
  <c r="B26" i="22"/>
  <c r="C26" i="22"/>
  <c r="B27" i="22"/>
  <c r="C27" i="22"/>
  <c r="B28" i="22"/>
  <c r="C28" i="22"/>
  <c r="B29" i="22"/>
  <c r="C29" i="22"/>
  <c r="B30" i="22"/>
  <c r="C30" i="22"/>
  <c r="B31" i="22"/>
  <c r="C31" i="22"/>
  <c r="B32" i="22"/>
  <c r="C32" i="22"/>
  <c r="B33" i="22"/>
  <c r="C33" i="22"/>
  <c r="B34" i="22"/>
  <c r="C34" i="22"/>
  <c r="B35" i="22"/>
  <c r="C35" i="22"/>
  <c r="B36" i="22"/>
  <c r="C36" i="22"/>
  <c r="B37" i="22"/>
  <c r="C37" i="22"/>
  <c r="B38" i="22"/>
  <c r="C38" i="22"/>
  <c r="B39" i="22"/>
  <c r="C39" i="22"/>
  <c r="B40" i="22"/>
  <c r="C40" i="22"/>
  <c r="B41" i="22"/>
  <c r="C41" i="22"/>
  <c r="B42" i="22"/>
  <c r="C42" i="22"/>
  <c r="B43" i="22"/>
  <c r="C43" i="22"/>
  <c r="B44" i="22"/>
  <c r="C44" i="22"/>
  <c r="B45" i="22"/>
  <c r="C45" i="22"/>
  <c r="B46" i="22"/>
  <c r="C46" i="22"/>
  <c r="B47" i="22"/>
  <c r="C47" i="22"/>
  <c r="B48" i="22"/>
  <c r="C48" i="22"/>
  <c r="B49" i="22"/>
  <c r="C49" i="22"/>
  <c r="B50" i="22"/>
  <c r="C50" i="22"/>
  <c r="B51" i="22"/>
  <c r="C51" i="22"/>
  <c r="B52" i="22"/>
  <c r="C52" i="22"/>
  <c r="B53" i="22"/>
  <c r="C53" i="22"/>
  <c r="B54" i="22"/>
  <c r="C54" i="22"/>
  <c r="B55" i="22"/>
  <c r="C55" i="22"/>
  <c r="B56" i="22"/>
  <c r="C56" i="22"/>
  <c r="B57" i="22"/>
  <c r="C57" i="22"/>
  <c r="B58" i="22"/>
  <c r="C58" i="22"/>
  <c r="B59" i="22"/>
  <c r="C59" i="22"/>
  <c r="B60" i="22"/>
  <c r="C60" i="22"/>
  <c r="B61" i="22"/>
  <c r="C61" i="22"/>
  <c r="B62" i="22"/>
  <c r="C62" i="22"/>
  <c r="B63" i="22"/>
  <c r="C63" i="22"/>
  <c r="B64" i="22"/>
  <c r="C64" i="22"/>
  <c r="B65" i="22"/>
  <c r="C65" i="22"/>
  <c r="B66" i="22"/>
  <c r="C66" i="22"/>
  <c r="B67" i="22"/>
  <c r="C67" i="22"/>
  <c r="B68" i="22"/>
  <c r="C68" i="22"/>
  <c r="B69" i="22"/>
  <c r="C69" i="22"/>
  <c r="B70" i="22"/>
  <c r="C70" i="22"/>
  <c r="B71" i="22"/>
  <c r="C71" i="22"/>
  <c r="B72" i="22"/>
  <c r="C72" i="22"/>
  <c r="B73" i="22"/>
  <c r="C73" i="22"/>
  <c r="B74" i="22"/>
  <c r="C74" i="22"/>
  <c r="B75" i="22"/>
  <c r="C75" i="22"/>
  <c r="B76" i="22"/>
  <c r="C76" i="22"/>
  <c r="B77" i="22"/>
  <c r="C77" i="22"/>
  <c r="B78" i="22"/>
  <c r="C78" i="22"/>
  <c r="B79" i="22"/>
  <c r="C79" i="22"/>
  <c r="B80" i="22"/>
  <c r="C80" i="22"/>
  <c r="B81" i="22"/>
  <c r="C81" i="22"/>
  <c r="B82" i="22"/>
  <c r="C82" i="22"/>
  <c r="B83" i="22"/>
  <c r="C83" i="22"/>
  <c r="B84" i="22"/>
  <c r="C84" i="22"/>
  <c r="B85" i="22"/>
  <c r="C85" i="22"/>
  <c r="B86" i="22"/>
  <c r="C86" i="22"/>
  <c r="B87" i="22"/>
  <c r="C87" i="22"/>
  <c r="B88" i="22"/>
  <c r="C88" i="22"/>
  <c r="B89" i="22"/>
  <c r="C89" i="22"/>
  <c r="B90" i="22"/>
  <c r="C90" i="22"/>
  <c r="B91" i="22"/>
  <c r="C91" i="22"/>
  <c r="B92" i="22"/>
  <c r="C92" i="22"/>
  <c r="B93" i="22"/>
  <c r="C93" i="22"/>
  <c r="B94" i="22"/>
  <c r="C94" i="22"/>
  <c r="B95" i="22"/>
  <c r="C95" i="22"/>
  <c r="B96" i="22"/>
  <c r="C96" i="22"/>
  <c r="B97" i="22"/>
  <c r="C97" i="22"/>
  <c r="B98" i="22"/>
  <c r="C98" i="22"/>
  <c r="B99" i="22"/>
  <c r="C99" i="22"/>
  <c r="B100" i="22"/>
  <c r="C100" i="22"/>
  <c r="B101" i="22"/>
  <c r="C101" i="22"/>
  <c r="B102" i="22"/>
  <c r="C102" i="22"/>
  <c r="B103" i="22"/>
  <c r="C103" i="22"/>
  <c r="B104" i="22"/>
  <c r="C104" i="22"/>
  <c r="B105" i="22"/>
  <c r="C105" i="22"/>
  <c r="B106" i="22"/>
  <c r="C106" i="22"/>
  <c r="B107" i="22"/>
  <c r="C107" i="22"/>
  <c r="B108" i="22"/>
  <c r="C108" i="22"/>
  <c r="B109" i="22"/>
  <c r="C109" i="22"/>
  <c r="B110" i="22"/>
  <c r="C110" i="22"/>
  <c r="B111" i="22"/>
  <c r="C111" i="22"/>
  <c r="B112" i="22"/>
  <c r="C112" i="22"/>
  <c r="B113" i="22"/>
  <c r="C113" i="22"/>
  <c r="B114" i="22"/>
  <c r="C114" i="22"/>
  <c r="B115" i="22"/>
  <c r="C115" i="22"/>
  <c r="B116" i="22"/>
  <c r="C116" i="22"/>
  <c r="B117" i="22"/>
  <c r="C117" i="22"/>
  <c r="B118" i="22"/>
  <c r="C118" i="22"/>
  <c r="B119" i="22"/>
  <c r="C119" i="22"/>
  <c r="B120" i="22"/>
  <c r="C120" i="22"/>
  <c r="B121" i="22"/>
  <c r="C121" i="22"/>
  <c r="B122" i="22"/>
  <c r="C122" i="22"/>
  <c r="B123" i="22"/>
  <c r="C123" i="22"/>
  <c r="B124" i="22"/>
  <c r="C124" i="22"/>
  <c r="B125" i="22"/>
  <c r="C125" i="22"/>
  <c r="B4" i="22"/>
  <c r="C4" i="22"/>
  <c r="B5" i="22"/>
  <c r="C5" i="22"/>
  <c r="B6" i="22"/>
  <c r="C6" i="22"/>
  <c r="B7" i="22"/>
  <c r="C7" i="22"/>
  <c r="B8" i="22"/>
  <c r="C8" i="22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C3" i="22"/>
  <c r="B3" i="22"/>
  <c r="M4" i="37"/>
  <c r="M5" i="37"/>
  <c r="N5" i="37" s="1"/>
  <c r="M6" i="37"/>
  <c r="M7" i="37"/>
  <c r="N7" i="37" s="1"/>
  <c r="M8" i="37"/>
  <c r="N8" i="37" s="1"/>
  <c r="M9" i="37"/>
  <c r="M10" i="37"/>
  <c r="M11" i="37"/>
  <c r="N11" i="37" s="1"/>
  <c r="M12" i="37"/>
  <c r="N12" i="37" s="1"/>
  <c r="M14" i="37"/>
  <c r="M3" i="37"/>
  <c r="N4" i="37"/>
  <c r="B3" i="37"/>
  <c r="C3" i="37"/>
  <c r="B4" i="37"/>
  <c r="C4" i="37"/>
  <c r="B5" i="37"/>
  <c r="C5" i="37"/>
  <c r="B6" i="37"/>
  <c r="C6" i="37"/>
  <c r="B7" i="37"/>
  <c r="C7" i="37"/>
  <c r="B8" i="37"/>
  <c r="C8" i="37"/>
  <c r="B9" i="37"/>
  <c r="C9" i="37"/>
  <c r="B10" i="37"/>
  <c r="C10" i="37"/>
  <c r="B11" i="37"/>
  <c r="C11" i="37"/>
  <c r="B12" i="37"/>
  <c r="C12" i="37"/>
  <c r="B13" i="37"/>
  <c r="C13" i="37"/>
  <c r="B14" i="37"/>
  <c r="C14" i="37"/>
  <c r="B15" i="37"/>
  <c r="C15" i="37"/>
  <c r="B16" i="37"/>
  <c r="C16" i="37"/>
  <c r="B17" i="37"/>
  <c r="C17" i="37"/>
  <c r="B18" i="37"/>
  <c r="C18" i="37"/>
  <c r="B19" i="37"/>
  <c r="C19" i="37"/>
  <c r="B20" i="37"/>
  <c r="C20" i="37"/>
  <c r="B21" i="37"/>
  <c r="C21" i="37"/>
  <c r="B22" i="37"/>
  <c r="C22" i="37"/>
  <c r="B23" i="37"/>
  <c r="C23" i="37"/>
  <c r="B24" i="37"/>
  <c r="C24" i="37"/>
  <c r="B25" i="37"/>
  <c r="C25" i="37"/>
  <c r="C27" i="37"/>
  <c r="C31" i="37"/>
  <c r="C35" i="37"/>
  <c r="C39" i="37"/>
  <c r="C43" i="37"/>
  <c r="C47" i="37"/>
  <c r="C51" i="37"/>
  <c r="C55" i="37"/>
  <c r="C59" i="37"/>
  <c r="C63" i="37"/>
  <c r="C67" i="37"/>
  <c r="B71" i="37"/>
  <c r="C75" i="37"/>
  <c r="C79" i="37"/>
  <c r="C83" i="37"/>
  <c r="C87" i="37"/>
  <c r="C91" i="37"/>
  <c r="C95" i="37"/>
  <c r="C99" i="37"/>
  <c r="C103" i="37"/>
  <c r="C107" i="37"/>
  <c r="C111" i="37"/>
  <c r="C115" i="37"/>
  <c r="C119" i="37"/>
  <c r="C123" i="37"/>
  <c r="C127" i="37"/>
  <c r="C135" i="37"/>
  <c r="C139" i="37"/>
  <c r="C143" i="37"/>
  <c r="C147" i="37"/>
  <c r="C151" i="37"/>
  <c r="C155" i="37"/>
  <c r="C158" i="37"/>
  <c r="B158" i="37"/>
  <c r="C157" i="37"/>
  <c r="B157" i="37"/>
  <c r="C156" i="37"/>
  <c r="B156" i="37"/>
  <c r="C154" i="37"/>
  <c r="B154" i="37"/>
  <c r="C153" i="37"/>
  <c r="B153" i="37"/>
  <c r="C152" i="37"/>
  <c r="B152" i="37"/>
  <c r="C150" i="37"/>
  <c r="B150" i="37"/>
  <c r="C149" i="37"/>
  <c r="B149" i="37"/>
  <c r="C148" i="37"/>
  <c r="B148" i="37"/>
  <c r="C146" i="37"/>
  <c r="B146" i="37"/>
  <c r="C145" i="37"/>
  <c r="B145" i="37"/>
  <c r="C144" i="37"/>
  <c r="B144" i="37"/>
  <c r="C142" i="37"/>
  <c r="B142" i="37"/>
  <c r="C141" i="37"/>
  <c r="B141" i="37"/>
  <c r="C140" i="37"/>
  <c r="B140" i="37"/>
  <c r="C138" i="37"/>
  <c r="B138" i="37"/>
  <c r="C137" i="37"/>
  <c r="B137" i="37"/>
  <c r="C136" i="37"/>
  <c r="B136" i="37"/>
  <c r="C126" i="37"/>
  <c r="B126" i="37"/>
  <c r="C125" i="37"/>
  <c r="B125" i="37"/>
  <c r="C124" i="37"/>
  <c r="B124" i="37"/>
  <c r="C122" i="37"/>
  <c r="B122" i="37"/>
  <c r="C121" i="37"/>
  <c r="B121" i="37"/>
  <c r="C120" i="37"/>
  <c r="B120" i="37"/>
  <c r="C118" i="37"/>
  <c r="B118" i="37"/>
  <c r="C117" i="37"/>
  <c r="B117" i="37"/>
  <c r="C116" i="37"/>
  <c r="B116" i="37"/>
  <c r="C114" i="37"/>
  <c r="B114" i="37"/>
  <c r="C113" i="37"/>
  <c r="B113" i="37"/>
  <c r="C112" i="37"/>
  <c r="B112" i="37"/>
  <c r="C110" i="37"/>
  <c r="B110" i="37"/>
  <c r="C109" i="37"/>
  <c r="B109" i="37"/>
  <c r="C108" i="37"/>
  <c r="B108" i="37"/>
  <c r="C106" i="37"/>
  <c r="B106" i="37"/>
  <c r="C105" i="37"/>
  <c r="B105" i="37"/>
  <c r="C104" i="37"/>
  <c r="B104" i="37"/>
  <c r="C102" i="37"/>
  <c r="B102" i="37"/>
  <c r="C101" i="37"/>
  <c r="B101" i="37"/>
  <c r="C100" i="37"/>
  <c r="B100" i="37"/>
  <c r="C98" i="37"/>
  <c r="B98" i="37"/>
  <c r="C97" i="37"/>
  <c r="B97" i="37"/>
  <c r="C96" i="37"/>
  <c r="B96" i="37"/>
  <c r="C94" i="37"/>
  <c r="B94" i="37"/>
  <c r="C93" i="37"/>
  <c r="B93" i="37"/>
  <c r="C92" i="37"/>
  <c r="B92" i="37"/>
  <c r="C90" i="37"/>
  <c r="B90" i="37"/>
  <c r="C89" i="37"/>
  <c r="B89" i="37"/>
  <c r="C88" i="37"/>
  <c r="B88" i="37"/>
  <c r="C86" i="37"/>
  <c r="B86" i="37"/>
  <c r="C85" i="37"/>
  <c r="B85" i="37"/>
  <c r="C84" i="37"/>
  <c r="B84" i="37"/>
  <c r="C82" i="37"/>
  <c r="B82" i="37"/>
  <c r="C81" i="37"/>
  <c r="B81" i="37"/>
  <c r="C80" i="37"/>
  <c r="B80" i="37"/>
  <c r="C78" i="37"/>
  <c r="B78" i="37"/>
  <c r="C77" i="37"/>
  <c r="B77" i="37"/>
  <c r="C76" i="37"/>
  <c r="B76" i="37"/>
  <c r="C74" i="37"/>
  <c r="B74" i="37"/>
  <c r="C73" i="37"/>
  <c r="B73" i="37"/>
  <c r="C72" i="37"/>
  <c r="B72" i="37"/>
  <c r="C71" i="37"/>
  <c r="C70" i="37"/>
  <c r="B70" i="37"/>
  <c r="C69" i="37"/>
  <c r="B69" i="37"/>
  <c r="C68" i="37"/>
  <c r="B68" i="37"/>
  <c r="B67" i="37"/>
  <c r="C66" i="37"/>
  <c r="B66" i="37"/>
  <c r="C65" i="37"/>
  <c r="B65" i="37"/>
  <c r="C64" i="37"/>
  <c r="B64" i="37"/>
  <c r="B63" i="37"/>
  <c r="C62" i="37"/>
  <c r="B62" i="37"/>
  <c r="C61" i="37"/>
  <c r="B61" i="37"/>
  <c r="C60" i="37"/>
  <c r="B60" i="37"/>
  <c r="B59" i="37"/>
  <c r="C58" i="37"/>
  <c r="B58" i="37"/>
  <c r="C57" i="37"/>
  <c r="B57" i="37"/>
  <c r="C56" i="37"/>
  <c r="B56" i="37"/>
  <c r="B55" i="37"/>
  <c r="C54" i="37"/>
  <c r="B54" i="37"/>
  <c r="C53" i="37"/>
  <c r="B53" i="37"/>
  <c r="C52" i="37"/>
  <c r="B52" i="37"/>
  <c r="B51" i="37"/>
  <c r="C50" i="37"/>
  <c r="B50" i="37"/>
  <c r="C49" i="37"/>
  <c r="B49" i="37"/>
  <c r="C48" i="37"/>
  <c r="B48" i="37"/>
  <c r="B47" i="37"/>
  <c r="C46" i="37"/>
  <c r="B46" i="37"/>
  <c r="C45" i="37"/>
  <c r="B45" i="37"/>
  <c r="C44" i="37"/>
  <c r="B44" i="37"/>
  <c r="C42" i="37"/>
  <c r="B42" i="37"/>
  <c r="C41" i="37"/>
  <c r="B41" i="37"/>
  <c r="C40" i="37"/>
  <c r="B40" i="37"/>
  <c r="C38" i="37"/>
  <c r="B38" i="37"/>
  <c r="C37" i="37"/>
  <c r="B37" i="37"/>
  <c r="C36" i="37"/>
  <c r="B36" i="37"/>
  <c r="C34" i="37"/>
  <c r="B34" i="37"/>
  <c r="C33" i="37"/>
  <c r="B33" i="37"/>
  <c r="C32" i="37"/>
  <c r="B32" i="37"/>
  <c r="C30" i="37"/>
  <c r="B30" i="37"/>
  <c r="C29" i="37"/>
  <c r="B29" i="37"/>
  <c r="C28" i="37"/>
  <c r="B28" i="37"/>
  <c r="C26" i="37"/>
  <c r="B26" i="37"/>
  <c r="E167" i="22" l="1"/>
  <c r="D167" i="22"/>
  <c r="F167" i="22"/>
  <c r="F169" i="22"/>
  <c r="F168" i="22"/>
  <c r="D171" i="22"/>
  <c r="E169" i="22"/>
  <c r="E171" i="22"/>
  <c r="E168" i="22"/>
  <c r="D170" i="22"/>
  <c r="F170" i="22"/>
  <c r="D168" i="22"/>
  <c r="E170" i="22"/>
  <c r="F171" i="22"/>
  <c r="D169" i="22"/>
  <c r="F172" i="22"/>
  <c r="E172" i="22"/>
  <c r="D172" i="22"/>
  <c r="E173" i="22"/>
  <c r="D173" i="22"/>
  <c r="F173" i="22"/>
  <c r="F174" i="22"/>
  <c r="D174" i="22"/>
  <c r="E174" i="22"/>
  <c r="F175" i="22"/>
  <c r="E175" i="22"/>
  <c r="D175" i="22"/>
  <c r="F176" i="22"/>
  <c r="E176" i="22"/>
  <c r="D176" i="22"/>
  <c r="D177" i="22"/>
  <c r="E177" i="22"/>
  <c r="F177" i="22"/>
  <c r="M13" i="37"/>
  <c r="N13" i="37" s="1"/>
  <c r="O3" i="37"/>
  <c r="P3" i="37" s="1"/>
  <c r="N14" i="37"/>
  <c r="N10" i="37"/>
  <c r="N6" i="37"/>
  <c r="N9" i="37"/>
  <c r="B27" i="37"/>
  <c r="B31" i="37"/>
  <c r="B35" i="37"/>
  <c r="B39" i="37"/>
  <c r="B43" i="37"/>
  <c r="B75" i="37"/>
  <c r="B79" i="37"/>
  <c r="B83" i="37"/>
  <c r="B87" i="37"/>
  <c r="B91" i="37"/>
  <c r="B95" i="37"/>
  <c r="B151" i="37"/>
  <c r="B155" i="37"/>
  <c r="B99" i="37"/>
  <c r="B103" i="37"/>
  <c r="B107" i="37"/>
  <c r="B111" i="37"/>
  <c r="B115" i="37"/>
  <c r="B119" i="37"/>
  <c r="B123" i="37"/>
  <c r="B127" i="37"/>
  <c r="B135" i="37"/>
  <c r="B139" i="37"/>
  <c r="B143" i="37"/>
  <c r="B147" i="37"/>
  <c r="F166" i="37" l="1"/>
  <c r="E167" i="37"/>
  <c r="D166" i="37"/>
  <c r="E174" i="37"/>
  <c r="E172" i="37"/>
  <c r="E170" i="37"/>
  <c r="F168" i="37"/>
  <c r="D167" i="37"/>
  <c r="F175" i="37"/>
  <c r="D173" i="37"/>
  <c r="E171" i="37"/>
  <c r="E168" i="37"/>
  <c r="E176" i="37"/>
  <c r="E175" i="37"/>
  <c r="F174" i="37"/>
  <c r="F173" i="37"/>
  <c r="F172" i="37"/>
  <c r="D171" i="37"/>
  <c r="F169" i="37"/>
  <c r="F167" i="37"/>
  <c r="E166" i="37"/>
  <c r="D175" i="37"/>
  <c r="E173" i="37"/>
  <c r="F171" i="37"/>
  <c r="D169" i="37"/>
  <c r="F176" i="37"/>
  <c r="D174" i="37"/>
  <c r="D172" i="37"/>
  <c r="F170" i="37"/>
  <c r="D176" i="37"/>
  <c r="D170" i="37"/>
  <c r="E169" i="37"/>
  <c r="D168" i="37"/>
  <c r="N166" i="37"/>
  <c r="N3" i="37"/>
  <c r="P166" i="37" s="1"/>
  <c r="A19" i="17" l="1"/>
  <c r="U19" i="17" l="1"/>
  <c r="R19" i="17"/>
  <c r="G34" i="11"/>
  <c r="H31" i="9"/>
  <c r="A20" i="17"/>
  <c r="X19" i="17" l="1"/>
  <c r="A21" i="17"/>
  <c r="U20" i="17"/>
  <c r="M135" i="45"/>
  <c r="M136" i="45" s="1"/>
  <c r="M137" i="45" s="1"/>
  <c r="M138" i="45" s="1"/>
  <c r="M139" i="45" s="1"/>
  <c r="M140" i="45" s="1"/>
  <c r="M141" i="45" s="1"/>
  <c r="M142" i="45" s="1"/>
  <c r="M143" i="45" s="1"/>
  <c r="M144" i="45" s="1"/>
  <c r="M145" i="45" s="1"/>
  <c r="M146" i="45" s="1"/>
  <c r="M147" i="45" s="1"/>
  <c r="M148" i="45" s="1"/>
  <c r="M149" i="45" s="1"/>
  <c r="M150" i="45" s="1"/>
  <c r="M151" i="45" s="1"/>
  <c r="M152" i="45" s="1"/>
  <c r="M153" i="45" s="1"/>
  <c r="M154" i="45" s="1"/>
  <c r="M155" i="45" s="1"/>
  <c r="M156" i="45" s="1"/>
  <c r="M157" i="45" s="1"/>
  <c r="M158" i="45" s="1"/>
  <c r="K135" i="37"/>
  <c r="K136" i="37" s="1"/>
  <c r="K137" i="37" s="1"/>
  <c r="K138" i="37" s="1"/>
  <c r="K139" i="37" s="1"/>
  <c r="K140" i="37" s="1"/>
  <c r="K141" i="37" s="1"/>
  <c r="K142" i="37" s="1"/>
  <c r="K143" i="37" s="1"/>
  <c r="K144" i="37" s="1"/>
  <c r="K145" i="37" s="1"/>
  <c r="K146" i="37" s="1"/>
  <c r="K147" i="37" s="1"/>
  <c r="K148" i="37" s="1"/>
  <c r="K149" i="37" s="1"/>
  <c r="K150" i="37" s="1"/>
  <c r="K151" i="37" s="1"/>
  <c r="K152" i="37" s="1"/>
  <c r="K153" i="37" s="1"/>
  <c r="K154" i="37" s="1"/>
  <c r="K155" i="37" s="1"/>
  <c r="K156" i="37" s="1"/>
  <c r="K157" i="37" s="1"/>
  <c r="K158" i="37" s="1"/>
  <c r="R20" i="17"/>
  <c r="J31" i="9"/>
  <c r="G44" i="11"/>
  <c r="A22" i="17"/>
  <c r="U21" i="17" l="1"/>
  <c r="X20" i="17"/>
  <c r="R21" i="17"/>
  <c r="X21" i="17"/>
  <c r="I44" i="11"/>
  <c r="J33" i="9"/>
  <c r="H44" i="11"/>
  <c r="J32" i="9"/>
  <c r="I34" i="11"/>
  <c r="H33" i="9"/>
  <c r="H34" i="11"/>
  <c r="H32" i="9"/>
  <c r="A23" i="17"/>
  <c r="J44" i="11" l="1"/>
  <c r="J34" i="9"/>
  <c r="X22" i="17"/>
  <c r="U22" i="17"/>
  <c r="U23" i="17"/>
  <c r="M8" i="22"/>
  <c r="N8" i="22" s="1"/>
  <c r="M4" i="22"/>
  <c r="N4" i="22" s="1"/>
  <c r="M28" i="22"/>
  <c r="N28" i="22" s="1"/>
  <c r="M16" i="22"/>
  <c r="N16" i="22" s="1"/>
  <c r="M12" i="22"/>
  <c r="N12" i="22" s="1"/>
  <c r="M26" i="37"/>
  <c r="N26" i="37" s="1"/>
  <c r="M25" i="37"/>
  <c r="M24" i="37"/>
  <c r="M23" i="37"/>
  <c r="M22" i="37"/>
  <c r="M21" i="37"/>
  <c r="M20" i="37"/>
  <c r="M19" i="37"/>
  <c r="M18" i="37"/>
  <c r="M17" i="37"/>
  <c r="M16" i="37"/>
  <c r="M3" i="22"/>
  <c r="M5" i="22"/>
  <c r="N5" i="22" s="1"/>
  <c r="M13" i="22"/>
  <c r="N13" i="22" s="1"/>
  <c r="M9" i="22"/>
  <c r="N9" i="22" s="1"/>
  <c r="M15" i="37"/>
  <c r="M7" i="22"/>
  <c r="N7" i="22" s="1"/>
  <c r="M11" i="22"/>
  <c r="N11" i="22" s="1"/>
  <c r="M6" i="22"/>
  <c r="N6" i="22" s="1"/>
  <c r="M14" i="22"/>
  <c r="N14" i="22" s="1"/>
  <c r="M10" i="22"/>
  <c r="N10" i="22" s="1"/>
  <c r="M34" i="37"/>
  <c r="M24" i="22"/>
  <c r="N16" i="37"/>
  <c r="M64" i="22"/>
  <c r="M21" i="22"/>
  <c r="M20" i="22"/>
  <c r="N20" i="37"/>
  <c r="M19" i="22"/>
  <c r="M18" i="22"/>
  <c r="N18" i="37"/>
  <c r="M76" i="22"/>
  <c r="M37" i="22"/>
  <c r="M23" i="22"/>
  <c r="M22" i="22"/>
  <c r="M17" i="22"/>
  <c r="M15" i="22"/>
  <c r="A24" i="17"/>
  <c r="L50" i="11"/>
  <c r="L49" i="11"/>
  <c r="K4" i="11"/>
  <c r="J4" i="11"/>
  <c r="I4" i="11"/>
  <c r="H4" i="11"/>
  <c r="H3" i="11"/>
  <c r="G4" i="11"/>
  <c r="G3" i="11"/>
  <c r="F4" i="11"/>
  <c r="F3" i="11"/>
  <c r="E4" i="11"/>
  <c r="E3" i="11"/>
  <c r="D4" i="11"/>
  <c r="D3" i="11"/>
  <c r="C4" i="11"/>
  <c r="C3" i="11"/>
  <c r="A33" i="11"/>
  <c r="A28" i="11"/>
  <c r="E1" i="18"/>
  <c r="A14" i="11"/>
  <c r="A10" i="11"/>
  <c r="F1" i="18"/>
  <c r="A27" i="9"/>
  <c r="A28" i="9"/>
  <c r="A29" i="9"/>
  <c r="A30" i="9"/>
  <c r="A31" i="9"/>
  <c r="A32" i="9"/>
  <c r="A33" i="9"/>
  <c r="A34" i="9"/>
  <c r="A35" i="9"/>
  <c r="A36" i="9" s="1"/>
  <c r="A37" i="9" s="1"/>
  <c r="A38" i="9" s="1"/>
  <c r="A39" i="9" s="1"/>
  <c r="A43" i="11"/>
  <c r="A38" i="11"/>
  <c r="A18" i="11"/>
  <c r="I3" i="11"/>
  <c r="J3" i="11"/>
  <c r="K3" i="11"/>
  <c r="N4" i="11"/>
  <c r="L4" i="11"/>
  <c r="G5" i="18"/>
  <c r="F55" i="11" s="1"/>
  <c r="G2" i="18"/>
  <c r="C55" i="11" s="1"/>
  <c r="G4" i="18"/>
  <c r="E55" i="11" s="1"/>
  <c r="G3" i="18"/>
  <c r="D55" i="11" s="1"/>
  <c r="M29" i="22" l="1"/>
  <c r="M52" i="22"/>
  <c r="J2" i="58"/>
  <c r="J2" i="45"/>
  <c r="I2" i="59"/>
  <c r="I2" i="46"/>
  <c r="I2" i="58"/>
  <c r="I2" i="45"/>
  <c r="J2" i="59"/>
  <c r="J2" i="46"/>
  <c r="N167" i="37"/>
  <c r="K44" i="11"/>
  <c r="X23" i="17"/>
  <c r="J35" i="9"/>
  <c r="J36" i="9"/>
  <c r="U24" i="17"/>
  <c r="M25" i="22"/>
  <c r="M40" i="22"/>
  <c r="M26" i="22"/>
  <c r="N26" i="22" s="1"/>
  <c r="M38" i="37"/>
  <c r="M49" i="37"/>
  <c r="M35" i="37"/>
  <c r="M32" i="37"/>
  <c r="O3" i="22"/>
  <c r="P3" i="22" s="1"/>
  <c r="N3" i="22"/>
  <c r="Q167" i="22" s="1"/>
  <c r="O167" i="22"/>
  <c r="M40" i="37"/>
  <c r="M46" i="37"/>
  <c r="M27" i="37"/>
  <c r="M30" i="37"/>
  <c r="M31" i="37"/>
  <c r="N31" i="37" s="1"/>
  <c r="M28" i="37"/>
  <c r="N28" i="37" s="1"/>
  <c r="M29" i="37"/>
  <c r="M33" i="37"/>
  <c r="M36" i="37"/>
  <c r="M37" i="37"/>
  <c r="N37" i="37" s="1"/>
  <c r="X24" i="17"/>
  <c r="L13" i="17"/>
  <c r="L14" i="17"/>
  <c r="N52" i="22"/>
  <c r="N40" i="22"/>
  <c r="N29" i="22"/>
  <c r="N76" i="22"/>
  <c r="N20" i="22"/>
  <c r="N17" i="22"/>
  <c r="N37" i="22"/>
  <c r="N21" i="22"/>
  <c r="N64" i="22"/>
  <c r="N24" i="22"/>
  <c r="N22" i="22"/>
  <c r="N23" i="22"/>
  <c r="N18" i="22"/>
  <c r="N19" i="22"/>
  <c r="N25" i="22"/>
  <c r="N15" i="22"/>
  <c r="L61" i="11"/>
  <c r="M50" i="11"/>
  <c r="F5" i="11"/>
  <c r="H5" i="11"/>
  <c r="K5" i="11"/>
  <c r="J5" i="11"/>
  <c r="D50" i="11"/>
  <c r="N19" i="37"/>
  <c r="N22" i="37"/>
  <c r="K50" i="11"/>
  <c r="H50" i="11"/>
  <c r="N15" i="37"/>
  <c r="N21" i="37"/>
  <c r="N23" i="37"/>
  <c r="N17" i="37"/>
  <c r="N25" i="37"/>
  <c r="N24" i="37"/>
  <c r="M30" i="22"/>
  <c r="M65" i="22"/>
  <c r="M43" i="22"/>
  <c r="M112" i="22"/>
  <c r="M66" i="22"/>
  <c r="N29" i="37"/>
  <c r="M38" i="22"/>
  <c r="M68" i="22"/>
  <c r="M31" i="22"/>
  <c r="M81" i="22"/>
  <c r="M67" i="22"/>
  <c r="M35" i="22"/>
  <c r="M49" i="22"/>
  <c r="M84" i="22"/>
  <c r="M32" i="22"/>
  <c r="M100" i="22"/>
  <c r="M69" i="22"/>
  <c r="M71" i="22"/>
  <c r="M33" i="22"/>
  <c r="M77" i="22"/>
  <c r="M63" i="22"/>
  <c r="M73" i="22"/>
  <c r="M85" i="22"/>
  <c r="M41" i="22"/>
  <c r="M45" i="22"/>
  <c r="M27" i="22"/>
  <c r="M34" i="22"/>
  <c r="N34" i="37"/>
  <c r="M36" i="22"/>
  <c r="M70" i="22"/>
  <c r="M72" i="22"/>
  <c r="M74" i="22"/>
  <c r="M88" i="22"/>
  <c r="M124" i="22"/>
  <c r="O20" i="22"/>
  <c r="P20" i="22" s="1"/>
  <c r="A25" i="17"/>
  <c r="I5" i="11"/>
  <c r="C5" i="11"/>
  <c r="E5" i="11"/>
  <c r="G5" i="11"/>
  <c r="D5" i="11"/>
  <c r="J50" i="11"/>
  <c r="G50" i="11"/>
  <c r="E50" i="11"/>
  <c r="F50" i="11"/>
  <c r="C50" i="11"/>
  <c r="I50" i="11"/>
  <c r="L44" i="11" l="1"/>
  <c r="O168" i="22"/>
  <c r="I136" i="45"/>
  <c r="I124" i="45" s="1"/>
  <c r="I137" i="45"/>
  <c r="I125" i="45" s="1"/>
  <c r="G155" i="45"/>
  <c r="J22" i="46"/>
  <c r="J34" i="46" s="1"/>
  <c r="J46" i="46" s="1"/>
  <c r="J58" i="46" s="1"/>
  <c r="J70" i="46" s="1"/>
  <c r="J82" i="46" s="1"/>
  <c r="J94" i="46" s="1"/>
  <c r="J106" i="46" s="1"/>
  <c r="J118" i="46" s="1"/>
  <c r="J130" i="46" s="1"/>
  <c r="J142" i="46" s="1"/>
  <c r="J154" i="46" s="1"/>
  <c r="J22" i="59"/>
  <c r="J34" i="59" s="1"/>
  <c r="J46" i="59" s="1"/>
  <c r="J58" i="59" s="1"/>
  <c r="J70" i="59" s="1"/>
  <c r="J82" i="59" s="1"/>
  <c r="J94" i="59" s="1"/>
  <c r="J106" i="59" s="1"/>
  <c r="J118" i="59" s="1"/>
  <c r="J130" i="59" s="1"/>
  <c r="J142" i="59" s="1"/>
  <c r="J154" i="59" s="1"/>
  <c r="J20" i="46"/>
  <c r="J32" i="46" s="1"/>
  <c r="J44" i="46" s="1"/>
  <c r="J56" i="46" s="1"/>
  <c r="J68" i="46" s="1"/>
  <c r="J80" i="46" s="1"/>
  <c r="J92" i="46" s="1"/>
  <c r="J104" i="46" s="1"/>
  <c r="J116" i="46" s="1"/>
  <c r="J128" i="46" s="1"/>
  <c r="J140" i="46" s="1"/>
  <c r="J152" i="46" s="1"/>
  <c r="J20" i="59"/>
  <c r="J32" i="59" s="1"/>
  <c r="J44" i="59" s="1"/>
  <c r="J56" i="59" s="1"/>
  <c r="J68" i="59" s="1"/>
  <c r="J80" i="59" s="1"/>
  <c r="J92" i="59" s="1"/>
  <c r="J104" i="59" s="1"/>
  <c r="J116" i="59" s="1"/>
  <c r="J128" i="59" s="1"/>
  <c r="J140" i="59" s="1"/>
  <c r="J152" i="59" s="1"/>
  <c r="J23" i="46"/>
  <c r="J35" i="46" s="1"/>
  <c r="J47" i="46" s="1"/>
  <c r="J59" i="46" s="1"/>
  <c r="J71" i="46" s="1"/>
  <c r="J83" i="46" s="1"/>
  <c r="J95" i="46" s="1"/>
  <c r="J107" i="46" s="1"/>
  <c r="J119" i="46" s="1"/>
  <c r="J131" i="46" s="1"/>
  <c r="J143" i="46" s="1"/>
  <c r="J155" i="46" s="1"/>
  <c r="J23" i="59"/>
  <c r="J35" i="59" s="1"/>
  <c r="J47" i="59" s="1"/>
  <c r="J59" i="59" s="1"/>
  <c r="J71" i="59" s="1"/>
  <c r="J83" i="59" s="1"/>
  <c r="J95" i="59" s="1"/>
  <c r="J107" i="59" s="1"/>
  <c r="J119" i="59" s="1"/>
  <c r="J131" i="59" s="1"/>
  <c r="J143" i="59" s="1"/>
  <c r="J155" i="59" s="1"/>
  <c r="J143" i="45"/>
  <c r="J131" i="45" s="1"/>
  <c r="J119" i="45" s="1"/>
  <c r="J107" i="45" s="1"/>
  <c r="J95" i="45" s="1"/>
  <c r="J83" i="45" s="1"/>
  <c r="J71" i="45" s="1"/>
  <c r="J59" i="45" s="1"/>
  <c r="J47" i="45" s="1"/>
  <c r="J35" i="45" s="1"/>
  <c r="J23" i="45" s="1"/>
  <c r="J11" i="45" s="1"/>
  <c r="I17" i="46"/>
  <c r="J25" i="59"/>
  <c r="J37" i="59" s="1"/>
  <c r="J49" i="59" s="1"/>
  <c r="J61" i="59" s="1"/>
  <c r="J73" i="59" s="1"/>
  <c r="J85" i="59" s="1"/>
  <c r="J97" i="59" s="1"/>
  <c r="J109" i="59" s="1"/>
  <c r="J121" i="59" s="1"/>
  <c r="J133" i="59" s="1"/>
  <c r="J145" i="59" s="1"/>
  <c r="J157" i="59" s="1"/>
  <c r="I146" i="45"/>
  <c r="I134" i="45" s="1"/>
  <c r="G152" i="45"/>
  <c r="G153" i="45"/>
  <c r="J138" i="45"/>
  <c r="J126" i="45" s="1"/>
  <c r="J114" i="45" s="1"/>
  <c r="J102" i="45" s="1"/>
  <c r="J90" i="45" s="1"/>
  <c r="J78" i="45" s="1"/>
  <c r="J66" i="45" s="1"/>
  <c r="J54" i="45" s="1"/>
  <c r="J42" i="45" s="1"/>
  <c r="J30" i="45" s="1"/>
  <c r="J18" i="45" s="1"/>
  <c r="J6" i="45" s="1"/>
  <c r="J137" i="45"/>
  <c r="J125" i="45" s="1"/>
  <c r="J113" i="45" s="1"/>
  <c r="J101" i="45" s="1"/>
  <c r="J89" i="45" s="1"/>
  <c r="J77" i="45" s="1"/>
  <c r="J65" i="45" s="1"/>
  <c r="J53" i="45" s="1"/>
  <c r="J41" i="45" s="1"/>
  <c r="J29" i="45" s="1"/>
  <c r="J17" i="45" s="1"/>
  <c r="J5" i="45" s="1"/>
  <c r="J24" i="46"/>
  <c r="J36" i="46" s="1"/>
  <c r="J48" i="46" s="1"/>
  <c r="J60" i="46" s="1"/>
  <c r="J72" i="46" s="1"/>
  <c r="J84" i="46" s="1"/>
  <c r="J96" i="46" s="1"/>
  <c r="J108" i="46" s="1"/>
  <c r="J120" i="46" s="1"/>
  <c r="J132" i="46" s="1"/>
  <c r="J144" i="46" s="1"/>
  <c r="J156" i="46" s="1"/>
  <c r="J24" i="59"/>
  <c r="J36" i="59" s="1"/>
  <c r="J48" i="59" s="1"/>
  <c r="J60" i="59" s="1"/>
  <c r="J72" i="59" s="1"/>
  <c r="J84" i="59" s="1"/>
  <c r="J96" i="59" s="1"/>
  <c r="J108" i="59" s="1"/>
  <c r="J120" i="59" s="1"/>
  <c r="J132" i="59" s="1"/>
  <c r="J144" i="59" s="1"/>
  <c r="J156" i="59" s="1"/>
  <c r="G150" i="45"/>
  <c r="J140" i="45"/>
  <c r="J128" i="45" s="1"/>
  <c r="J116" i="45" s="1"/>
  <c r="J104" i="45" s="1"/>
  <c r="J92" i="45" s="1"/>
  <c r="J80" i="45" s="1"/>
  <c r="J68" i="45" s="1"/>
  <c r="J56" i="45" s="1"/>
  <c r="J44" i="45" s="1"/>
  <c r="J32" i="45" s="1"/>
  <c r="J20" i="45" s="1"/>
  <c r="J8" i="45" s="1"/>
  <c r="J136" i="45"/>
  <c r="J124" i="45" s="1"/>
  <c r="J112" i="45" s="1"/>
  <c r="J100" i="45" s="1"/>
  <c r="J88" i="45" s="1"/>
  <c r="J76" i="45" s="1"/>
  <c r="J64" i="45" s="1"/>
  <c r="J52" i="45" s="1"/>
  <c r="J40" i="45" s="1"/>
  <c r="J28" i="45" s="1"/>
  <c r="J16" i="45" s="1"/>
  <c r="J4" i="45" s="1"/>
  <c r="I18" i="46"/>
  <c r="J26" i="59"/>
  <c r="J38" i="59" s="1"/>
  <c r="J50" i="59" s="1"/>
  <c r="J62" i="59" s="1"/>
  <c r="J74" i="59" s="1"/>
  <c r="J86" i="59" s="1"/>
  <c r="J98" i="59" s="1"/>
  <c r="J110" i="59" s="1"/>
  <c r="J122" i="59" s="1"/>
  <c r="J134" i="59" s="1"/>
  <c r="J146" i="59" s="1"/>
  <c r="J158" i="59" s="1"/>
  <c r="J21" i="46"/>
  <c r="J33" i="46" s="1"/>
  <c r="J45" i="46" s="1"/>
  <c r="J57" i="46" s="1"/>
  <c r="J69" i="46" s="1"/>
  <c r="J81" i="46" s="1"/>
  <c r="J93" i="46" s="1"/>
  <c r="J105" i="46" s="1"/>
  <c r="J117" i="46" s="1"/>
  <c r="J129" i="46" s="1"/>
  <c r="J141" i="46" s="1"/>
  <c r="J153" i="46" s="1"/>
  <c r="J21" i="59"/>
  <c r="J33" i="59" s="1"/>
  <c r="J45" i="59" s="1"/>
  <c r="J57" i="59" s="1"/>
  <c r="J69" i="59" s="1"/>
  <c r="J81" i="59" s="1"/>
  <c r="J93" i="59" s="1"/>
  <c r="J105" i="59" s="1"/>
  <c r="J117" i="59" s="1"/>
  <c r="J129" i="59" s="1"/>
  <c r="J141" i="59" s="1"/>
  <c r="J153" i="59" s="1"/>
  <c r="J141" i="45"/>
  <c r="J129" i="45" s="1"/>
  <c r="J117" i="45" s="1"/>
  <c r="J105" i="45" s="1"/>
  <c r="J93" i="45" s="1"/>
  <c r="J81" i="45" s="1"/>
  <c r="J69" i="45" s="1"/>
  <c r="J57" i="45" s="1"/>
  <c r="J45" i="45" s="1"/>
  <c r="J33" i="45" s="1"/>
  <c r="J21" i="45" s="1"/>
  <c r="J9" i="45" s="1"/>
  <c r="J15" i="46"/>
  <c r="J27" i="46" s="1"/>
  <c r="J39" i="46" s="1"/>
  <c r="J51" i="46" s="1"/>
  <c r="J63" i="46" s="1"/>
  <c r="J75" i="46" s="1"/>
  <c r="J87" i="46" s="1"/>
  <c r="J99" i="46" s="1"/>
  <c r="J111" i="46" s="1"/>
  <c r="J123" i="46" s="1"/>
  <c r="J135" i="46" s="1"/>
  <c r="J147" i="46" s="1"/>
  <c r="J15" i="59"/>
  <c r="J27" i="59" s="1"/>
  <c r="J39" i="59" s="1"/>
  <c r="J51" i="59" s="1"/>
  <c r="J63" i="59" s="1"/>
  <c r="J75" i="59" s="1"/>
  <c r="J87" i="59" s="1"/>
  <c r="J99" i="59" s="1"/>
  <c r="J111" i="59" s="1"/>
  <c r="J123" i="59" s="1"/>
  <c r="J135" i="59" s="1"/>
  <c r="J147" i="59" s="1"/>
  <c r="I142" i="45"/>
  <c r="I130" i="45" s="1"/>
  <c r="J135" i="45"/>
  <c r="J123" i="45" s="1"/>
  <c r="J111" i="45" s="1"/>
  <c r="J99" i="45" s="1"/>
  <c r="J87" i="45" s="1"/>
  <c r="J75" i="45" s="1"/>
  <c r="J63" i="45" s="1"/>
  <c r="J51" i="45" s="1"/>
  <c r="J39" i="45" s="1"/>
  <c r="J27" i="45" s="1"/>
  <c r="J15" i="45" s="1"/>
  <c r="J3" i="45" s="1"/>
  <c r="J144" i="45"/>
  <c r="J132" i="45" s="1"/>
  <c r="J120" i="45" s="1"/>
  <c r="J108" i="45" s="1"/>
  <c r="J96" i="45" s="1"/>
  <c r="J84" i="45" s="1"/>
  <c r="J72" i="45" s="1"/>
  <c r="J60" i="45" s="1"/>
  <c r="J48" i="45" s="1"/>
  <c r="J36" i="45" s="1"/>
  <c r="J24" i="45" s="1"/>
  <c r="J12" i="45" s="1"/>
  <c r="I23" i="46"/>
  <c r="I25" i="46"/>
  <c r="J145" i="45"/>
  <c r="J133" i="45" s="1"/>
  <c r="J121" i="45" s="1"/>
  <c r="J109" i="45" s="1"/>
  <c r="J97" i="45" s="1"/>
  <c r="J85" i="45" s="1"/>
  <c r="J73" i="45" s="1"/>
  <c r="J61" i="45" s="1"/>
  <c r="J49" i="45" s="1"/>
  <c r="J37" i="45" s="1"/>
  <c r="J25" i="45" s="1"/>
  <c r="J13" i="45" s="1"/>
  <c r="I144" i="45"/>
  <c r="I132" i="45" s="1"/>
  <c r="G147" i="45"/>
  <c r="J142" i="45"/>
  <c r="J130" i="45" s="1"/>
  <c r="J118" i="45" s="1"/>
  <c r="J106" i="45" s="1"/>
  <c r="J94" i="45" s="1"/>
  <c r="J82" i="45" s="1"/>
  <c r="J70" i="45" s="1"/>
  <c r="J58" i="45" s="1"/>
  <c r="J46" i="45" s="1"/>
  <c r="J34" i="45" s="1"/>
  <c r="J22" i="45" s="1"/>
  <c r="J10" i="45" s="1"/>
  <c r="I139" i="45"/>
  <c r="I127" i="45" s="1"/>
  <c r="J18" i="46"/>
  <c r="J30" i="46" s="1"/>
  <c r="J42" i="46" s="1"/>
  <c r="J54" i="46" s="1"/>
  <c r="J66" i="46" s="1"/>
  <c r="J78" i="46" s="1"/>
  <c r="J90" i="46" s="1"/>
  <c r="J102" i="46" s="1"/>
  <c r="J114" i="46" s="1"/>
  <c r="J126" i="46" s="1"/>
  <c r="J138" i="46" s="1"/>
  <c r="J150" i="46" s="1"/>
  <c r="J18" i="59"/>
  <c r="J30" i="59" s="1"/>
  <c r="J42" i="59" s="1"/>
  <c r="J54" i="59" s="1"/>
  <c r="J66" i="59" s="1"/>
  <c r="J78" i="59" s="1"/>
  <c r="J90" i="59" s="1"/>
  <c r="J102" i="59" s="1"/>
  <c r="J114" i="59" s="1"/>
  <c r="J126" i="59" s="1"/>
  <c r="J138" i="59" s="1"/>
  <c r="J150" i="59" s="1"/>
  <c r="J16" i="46"/>
  <c r="J28" i="46" s="1"/>
  <c r="J40" i="46" s="1"/>
  <c r="J52" i="46" s="1"/>
  <c r="J64" i="46" s="1"/>
  <c r="J76" i="46" s="1"/>
  <c r="J88" i="46" s="1"/>
  <c r="J100" i="46" s="1"/>
  <c r="J112" i="46" s="1"/>
  <c r="J124" i="46" s="1"/>
  <c r="J136" i="46" s="1"/>
  <c r="J148" i="46" s="1"/>
  <c r="J16" i="59"/>
  <c r="J28" i="59" s="1"/>
  <c r="J40" i="59" s="1"/>
  <c r="J52" i="59" s="1"/>
  <c r="J64" i="59" s="1"/>
  <c r="J76" i="59" s="1"/>
  <c r="J88" i="59" s="1"/>
  <c r="J100" i="59" s="1"/>
  <c r="J112" i="59" s="1"/>
  <c r="J124" i="59" s="1"/>
  <c r="J136" i="59" s="1"/>
  <c r="J148" i="59" s="1"/>
  <c r="J19" i="46"/>
  <c r="J31" i="46" s="1"/>
  <c r="J43" i="46" s="1"/>
  <c r="J55" i="46" s="1"/>
  <c r="J67" i="46" s="1"/>
  <c r="J79" i="46" s="1"/>
  <c r="J91" i="46" s="1"/>
  <c r="J103" i="46" s="1"/>
  <c r="J115" i="46" s="1"/>
  <c r="J127" i="46" s="1"/>
  <c r="J139" i="46" s="1"/>
  <c r="J151" i="46" s="1"/>
  <c r="J19" i="59"/>
  <c r="J31" i="59" s="1"/>
  <c r="J43" i="59" s="1"/>
  <c r="J55" i="59" s="1"/>
  <c r="J67" i="59" s="1"/>
  <c r="J79" i="59" s="1"/>
  <c r="J91" i="59" s="1"/>
  <c r="J103" i="59" s="1"/>
  <c r="J115" i="59" s="1"/>
  <c r="J127" i="59" s="1"/>
  <c r="J139" i="59" s="1"/>
  <c r="J151" i="59" s="1"/>
  <c r="J17" i="46"/>
  <c r="J29" i="46" s="1"/>
  <c r="J41" i="46" s="1"/>
  <c r="J53" i="46" s="1"/>
  <c r="J65" i="46" s="1"/>
  <c r="J77" i="46" s="1"/>
  <c r="J89" i="46" s="1"/>
  <c r="J101" i="46" s="1"/>
  <c r="J113" i="46" s="1"/>
  <c r="J125" i="46" s="1"/>
  <c r="J137" i="46" s="1"/>
  <c r="J149" i="46" s="1"/>
  <c r="J17" i="59"/>
  <c r="J29" i="59" s="1"/>
  <c r="J41" i="59" s="1"/>
  <c r="J53" i="59" s="1"/>
  <c r="J65" i="59" s="1"/>
  <c r="J77" i="59" s="1"/>
  <c r="J89" i="59" s="1"/>
  <c r="J101" i="59" s="1"/>
  <c r="J113" i="59" s="1"/>
  <c r="J125" i="59" s="1"/>
  <c r="J137" i="59" s="1"/>
  <c r="J149" i="59" s="1"/>
  <c r="J139" i="45"/>
  <c r="J127" i="45" s="1"/>
  <c r="J115" i="45" s="1"/>
  <c r="J103" i="45" s="1"/>
  <c r="J91" i="45" s="1"/>
  <c r="J79" i="45" s="1"/>
  <c r="J67" i="45" s="1"/>
  <c r="J55" i="45" s="1"/>
  <c r="J43" i="45" s="1"/>
  <c r="J31" i="45" s="1"/>
  <c r="J19" i="45" s="1"/>
  <c r="J7" i="45" s="1"/>
  <c r="I19" i="46"/>
  <c r="I15" i="46"/>
  <c r="I26" i="46"/>
  <c r="J146" i="45"/>
  <c r="J134" i="45" s="1"/>
  <c r="J122" i="45" s="1"/>
  <c r="J110" i="45" s="1"/>
  <c r="J98" i="45" s="1"/>
  <c r="J86" i="45" s="1"/>
  <c r="J74" i="45" s="1"/>
  <c r="J62" i="45" s="1"/>
  <c r="J50" i="45" s="1"/>
  <c r="J38" i="45" s="1"/>
  <c r="J26" i="45" s="1"/>
  <c r="J14" i="45" s="1"/>
  <c r="I145" i="45"/>
  <c r="I133" i="45" s="1"/>
  <c r="H154" i="22"/>
  <c r="H154" i="46"/>
  <c r="H152" i="46"/>
  <c r="H155" i="46"/>
  <c r="G149" i="46"/>
  <c r="H157" i="46"/>
  <c r="H156" i="46"/>
  <c r="G148" i="46"/>
  <c r="G150" i="46"/>
  <c r="H158" i="46"/>
  <c r="H153" i="22"/>
  <c r="H153" i="46"/>
  <c r="H147" i="46"/>
  <c r="G156" i="46"/>
  <c r="G155" i="46"/>
  <c r="G154" i="46"/>
  <c r="G157" i="46"/>
  <c r="H150" i="46"/>
  <c r="H148" i="22"/>
  <c r="H148" i="46"/>
  <c r="H151" i="46"/>
  <c r="H149" i="46"/>
  <c r="G153" i="46"/>
  <c r="G152" i="46"/>
  <c r="G151" i="46"/>
  <c r="G147" i="46"/>
  <c r="G158" i="46"/>
  <c r="H155" i="37"/>
  <c r="G158" i="37"/>
  <c r="G152" i="37"/>
  <c r="G153" i="37"/>
  <c r="H150" i="37"/>
  <c r="H149" i="37"/>
  <c r="G150" i="37"/>
  <c r="H152" i="37"/>
  <c r="H148" i="37"/>
  <c r="G155" i="37"/>
  <c r="H153" i="37"/>
  <c r="G154" i="37"/>
  <c r="H156" i="37"/>
  <c r="G148" i="37"/>
  <c r="G149" i="37"/>
  <c r="H154" i="37"/>
  <c r="G151" i="37"/>
  <c r="H151" i="37"/>
  <c r="H147" i="37"/>
  <c r="G147" i="37"/>
  <c r="M44" i="11"/>
  <c r="U25" i="17"/>
  <c r="M55" i="37"/>
  <c r="M39" i="37"/>
  <c r="M129" i="22"/>
  <c r="K136" i="46"/>
  <c r="M61" i="37"/>
  <c r="M62" i="37"/>
  <c r="M58" i="37"/>
  <c r="M47" i="37"/>
  <c r="M54" i="37"/>
  <c r="Q168" i="22"/>
  <c r="K148" i="46"/>
  <c r="M43" i="37"/>
  <c r="M42" i="37"/>
  <c r="M44" i="37"/>
  <c r="M50" i="37"/>
  <c r="M56" i="37"/>
  <c r="M52" i="37"/>
  <c r="M48" i="37"/>
  <c r="M45" i="37"/>
  <c r="M41" i="37"/>
  <c r="N168" i="37"/>
  <c r="M133" i="22"/>
  <c r="X25" i="17"/>
  <c r="N41" i="22"/>
  <c r="N35" i="22"/>
  <c r="N31" i="22"/>
  <c r="N34" i="22"/>
  <c r="N73" i="22"/>
  <c r="N77" i="22"/>
  <c r="N67" i="22"/>
  <c r="N81" i="22"/>
  <c r="N65" i="22"/>
  <c r="N30" i="22"/>
  <c r="N124" i="22"/>
  <c r="N33" i="22"/>
  <c r="N71" i="22"/>
  <c r="N69" i="22"/>
  <c r="N32" i="22"/>
  <c r="N68" i="22"/>
  <c r="N38" i="22"/>
  <c r="N66" i="22"/>
  <c r="N112" i="22"/>
  <c r="N74" i="22"/>
  <c r="N72" i="22"/>
  <c r="N70" i="22"/>
  <c r="N36" i="22"/>
  <c r="N45" i="22"/>
  <c r="N49" i="22"/>
  <c r="N43" i="22"/>
  <c r="N84" i="22"/>
  <c r="I136" i="22"/>
  <c r="N88" i="22"/>
  <c r="N85" i="22"/>
  <c r="O172" i="22"/>
  <c r="N63" i="22"/>
  <c r="N27" i="22"/>
  <c r="O169" i="22"/>
  <c r="I148" i="22"/>
  <c r="N100" i="22"/>
  <c r="G61" i="11"/>
  <c r="K61" i="11"/>
  <c r="J61" i="11"/>
  <c r="H61" i="11"/>
  <c r="D61" i="11"/>
  <c r="I61" i="11"/>
  <c r="F61" i="11"/>
  <c r="E61" i="11"/>
  <c r="M61" i="11"/>
  <c r="C61" i="11"/>
  <c r="P167" i="37"/>
  <c r="N36" i="37"/>
  <c r="N32" i="37"/>
  <c r="O11" i="22"/>
  <c r="P11" i="22" s="1"/>
  <c r="O19" i="22"/>
  <c r="P19" i="22" s="1"/>
  <c r="M48" i="22"/>
  <c r="N35" i="37"/>
  <c r="O35" i="22"/>
  <c r="P35" i="22" s="1"/>
  <c r="N27" i="37"/>
  <c r="O7" i="22"/>
  <c r="O23" i="22"/>
  <c r="P23" i="22" s="1"/>
  <c r="O31" i="22"/>
  <c r="P31" i="22" s="1"/>
  <c r="N30" i="37"/>
  <c r="N38" i="37"/>
  <c r="O5" i="22"/>
  <c r="P5" i="22" s="1"/>
  <c r="O9" i="22"/>
  <c r="O13" i="22"/>
  <c r="P13" i="22" s="1"/>
  <c r="O17" i="22"/>
  <c r="P17" i="22" s="1"/>
  <c r="O21" i="22"/>
  <c r="O29" i="22"/>
  <c r="P29" i="22" s="1"/>
  <c r="O33" i="22"/>
  <c r="P33" i="22" s="1"/>
  <c r="O37" i="22"/>
  <c r="P37" i="22" s="1"/>
  <c r="O25" i="22"/>
  <c r="P25" i="22" s="1"/>
  <c r="O28" i="22"/>
  <c r="P28" i="22" s="1"/>
  <c r="M120" i="22"/>
  <c r="M95" i="22"/>
  <c r="M89" i="22"/>
  <c r="M96" i="22"/>
  <c r="M122" i="22"/>
  <c r="M111" i="22"/>
  <c r="M125" i="22"/>
  <c r="M50" i="22"/>
  <c r="M83" i="22"/>
  <c r="M97" i="22"/>
  <c r="M47" i="22"/>
  <c r="M53" i="22"/>
  <c r="M60" i="22"/>
  <c r="M119" i="22"/>
  <c r="O49" i="22"/>
  <c r="P49" i="22" s="1"/>
  <c r="M42" i="22"/>
  <c r="M117" i="22"/>
  <c r="M46" i="22"/>
  <c r="O45" i="22"/>
  <c r="P45" i="22" s="1"/>
  <c r="M39" i="22"/>
  <c r="M55" i="22"/>
  <c r="M57" i="22"/>
  <c r="M78" i="22"/>
  <c r="M113" i="22"/>
  <c r="M82" i="22"/>
  <c r="M127" i="22"/>
  <c r="M44" i="22"/>
  <c r="O28" i="37"/>
  <c r="P28" i="37" s="1"/>
  <c r="O36" i="37"/>
  <c r="P36" i="37" s="1"/>
  <c r="M59" i="22"/>
  <c r="M118" i="22"/>
  <c r="O43" i="22"/>
  <c r="P43" i="22" s="1"/>
  <c r="N43" i="37"/>
  <c r="M61" i="22"/>
  <c r="M75" i="22"/>
  <c r="M92" i="22"/>
  <c r="M91" i="22"/>
  <c r="M93" i="22"/>
  <c r="M121" i="22"/>
  <c r="M116" i="22"/>
  <c r="M115" i="22"/>
  <c r="O41" i="22"/>
  <c r="P41" i="22" s="1"/>
  <c r="O40" i="22"/>
  <c r="P40" i="22" s="1"/>
  <c r="M114" i="22"/>
  <c r="M80" i="22"/>
  <c r="M86" i="22"/>
  <c r="O32" i="22"/>
  <c r="P32" i="22" s="1"/>
  <c r="O36" i="22"/>
  <c r="P36" i="22" s="1"/>
  <c r="M79" i="22"/>
  <c r="O37" i="37"/>
  <c r="P37" i="37" s="1"/>
  <c r="O26" i="37"/>
  <c r="P26" i="37" s="1"/>
  <c r="O38" i="37"/>
  <c r="P38" i="37" s="1"/>
  <c r="O34" i="22"/>
  <c r="P34" i="22" s="1"/>
  <c r="O6" i="22"/>
  <c r="P6" i="22" s="1"/>
  <c r="O10" i="22"/>
  <c r="P10" i="22" s="1"/>
  <c r="O14" i="22"/>
  <c r="P14" i="22" s="1"/>
  <c r="O18" i="22"/>
  <c r="P18" i="22" s="1"/>
  <c r="O22" i="22"/>
  <c r="P22" i="22" s="1"/>
  <c r="O26" i="22"/>
  <c r="P26" i="22" s="1"/>
  <c r="O30" i="22"/>
  <c r="P30" i="22" s="1"/>
  <c r="O34" i="37"/>
  <c r="P34" i="37" s="1"/>
  <c r="O38" i="22"/>
  <c r="P38" i="22" s="1"/>
  <c r="O29" i="37"/>
  <c r="P29" i="37" s="1"/>
  <c r="O31" i="37"/>
  <c r="P31" i="37" s="1"/>
  <c r="O35" i="37"/>
  <c r="P35" i="37" s="1"/>
  <c r="O4" i="22"/>
  <c r="P4" i="22" s="1"/>
  <c r="O8" i="22"/>
  <c r="P8" i="22" s="1"/>
  <c r="O12" i="22"/>
  <c r="P12" i="22" s="1"/>
  <c r="O16" i="22"/>
  <c r="P16" i="22" s="1"/>
  <c r="O24" i="22"/>
  <c r="P24" i="22" s="1"/>
  <c r="U26" i="17" l="1"/>
  <c r="X26" i="17"/>
  <c r="W26" i="17" s="1"/>
  <c r="W44" i="17" s="1"/>
  <c r="J37" i="9"/>
  <c r="G158" i="45"/>
  <c r="I158" i="45" s="1"/>
  <c r="G148" i="45"/>
  <c r="I148" i="45" s="1"/>
  <c r="I135" i="45"/>
  <c r="I123" i="45" s="1"/>
  <c r="O123" i="45" s="1"/>
  <c r="G151" i="45"/>
  <c r="I151" i="45" s="1"/>
  <c r="I143" i="45"/>
  <c r="I131" i="45" s="1"/>
  <c r="I119" i="45" s="1"/>
  <c r="O119" i="45" s="1"/>
  <c r="I138" i="45"/>
  <c r="I126" i="45" s="1"/>
  <c r="I114" i="45" s="1"/>
  <c r="O114" i="45" s="1"/>
  <c r="H154" i="45"/>
  <c r="J154" i="45" s="1"/>
  <c r="I140" i="45"/>
  <c r="I128" i="45" s="1"/>
  <c r="I116" i="45" s="1"/>
  <c r="O116" i="45" s="1"/>
  <c r="G154" i="45"/>
  <c r="I154" i="45" s="1"/>
  <c r="O10" i="46"/>
  <c r="Q10" i="46" s="1"/>
  <c r="H155" i="45"/>
  <c r="J155" i="45" s="1"/>
  <c r="H150" i="45"/>
  <c r="J150" i="45" s="1"/>
  <c r="O12" i="46"/>
  <c r="P12" i="46" s="1"/>
  <c r="H151" i="45"/>
  <c r="J151" i="45" s="1"/>
  <c r="O127" i="45"/>
  <c r="O132" i="45"/>
  <c r="H152" i="45"/>
  <c r="J152" i="45" s="1"/>
  <c r="O6" i="46"/>
  <c r="P6" i="46" s="1"/>
  <c r="G149" i="45"/>
  <c r="O124" i="45"/>
  <c r="O125" i="45"/>
  <c r="O130" i="45"/>
  <c r="G157" i="45"/>
  <c r="I157" i="45" s="1"/>
  <c r="H147" i="45"/>
  <c r="J147" i="45" s="1"/>
  <c r="I141" i="45"/>
  <c r="I129" i="45" s="1"/>
  <c r="O129" i="45" s="1"/>
  <c r="I24" i="46"/>
  <c r="O24" i="46" s="1"/>
  <c r="H148" i="45"/>
  <c r="J148" i="45" s="1"/>
  <c r="H149" i="45"/>
  <c r="J149" i="45" s="1"/>
  <c r="I22" i="46"/>
  <c r="O22" i="46" s="1"/>
  <c r="O9" i="46"/>
  <c r="P9" i="46" s="1"/>
  <c r="O7" i="46"/>
  <c r="P7" i="46" s="1"/>
  <c r="O3" i="46"/>
  <c r="Q3" i="46" s="1"/>
  <c r="O134" i="45"/>
  <c r="O4" i="46"/>
  <c r="P4" i="46" s="1"/>
  <c r="I16" i="46"/>
  <c r="O16" i="46" s="1"/>
  <c r="O11" i="46"/>
  <c r="P11" i="46" s="1"/>
  <c r="O5" i="46"/>
  <c r="Q5" i="46" s="1"/>
  <c r="O133" i="45"/>
  <c r="H156" i="45"/>
  <c r="J156" i="45" s="1"/>
  <c r="H153" i="45"/>
  <c r="J153" i="45" s="1"/>
  <c r="G156" i="45"/>
  <c r="I156" i="45" s="1"/>
  <c r="O8" i="46"/>
  <c r="Q8" i="46" s="1"/>
  <c r="I21" i="46"/>
  <c r="O21" i="46" s="1"/>
  <c r="O18" i="46"/>
  <c r="I20" i="46"/>
  <c r="O20" i="46" s="1"/>
  <c r="O17" i="46"/>
  <c r="O23" i="46"/>
  <c r="O14" i="59"/>
  <c r="I26" i="59"/>
  <c r="I21" i="59"/>
  <c r="O9" i="59"/>
  <c r="I25" i="59"/>
  <c r="O13" i="59"/>
  <c r="J147" i="58"/>
  <c r="J135" i="58"/>
  <c r="J123" i="58" s="1"/>
  <c r="J111" i="58" s="1"/>
  <c r="J99" i="58" s="1"/>
  <c r="J87" i="58" s="1"/>
  <c r="J75" i="58" s="1"/>
  <c r="J63" i="58" s="1"/>
  <c r="J51" i="58" s="1"/>
  <c r="J39" i="58" s="1"/>
  <c r="J27" i="58" s="1"/>
  <c r="J15" i="58" s="1"/>
  <c r="J3" i="58" s="1"/>
  <c r="J136" i="58"/>
  <c r="J124" i="58" s="1"/>
  <c r="J112" i="58" s="1"/>
  <c r="J100" i="58" s="1"/>
  <c r="J88" i="58" s="1"/>
  <c r="J76" i="58" s="1"/>
  <c r="J64" i="58" s="1"/>
  <c r="J52" i="58" s="1"/>
  <c r="J40" i="58" s="1"/>
  <c r="J28" i="58" s="1"/>
  <c r="J16" i="58" s="1"/>
  <c r="J4" i="58" s="1"/>
  <c r="J148" i="58"/>
  <c r="J137" i="58"/>
  <c r="J125" i="58" s="1"/>
  <c r="J113" i="58" s="1"/>
  <c r="J101" i="58" s="1"/>
  <c r="J89" i="58" s="1"/>
  <c r="J77" i="58" s="1"/>
  <c r="J65" i="58" s="1"/>
  <c r="J53" i="58" s="1"/>
  <c r="J41" i="58" s="1"/>
  <c r="J29" i="58" s="1"/>
  <c r="J17" i="58" s="1"/>
  <c r="J5" i="58" s="1"/>
  <c r="J149" i="58"/>
  <c r="J155" i="58"/>
  <c r="J143" i="58"/>
  <c r="J131" i="58" s="1"/>
  <c r="J119" i="58" s="1"/>
  <c r="J107" i="58" s="1"/>
  <c r="J95" i="58" s="1"/>
  <c r="J83" i="58" s="1"/>
  <c r="J71" i="58" s="1"/>
  <c r="J59" i="58" s="1"/>
  <c r="J47" i="58" s="1"/>
  <c r="J35" i="58" s="1"/>
  <c r="J23" i="58" s="1"/>
  <c r="J11" i="58" s="1"/>
  <c r="I20" i="59"/>
  <c r="O8" i="59"/>
  <c r="I24" i="59"/>
  <c r="O12" i="59"/>
  <c r="I16" i="59"/>
  <c r="O4" i="59"/>
  <c r="J140" i="58"/>
  <c r="J128" i="58" s="1"/>
  <c r="J116" i="58" s="1"/>
  <c r="J104" i="58" s="1"/>
  <c r="J92" i="58" s="1"/>
  <c r="J80" i="58" s="1"/>
  <c r="J68" i="58" s="1"/>
  <c r="J56" i="58" s="1"/>
  <c r="J44" i="58" s="1"/>
  <c r="J32" i="58" s="1"/>
  <c r="J20" i="58" s="1"/>
  <c r="J8" i="58" s="1"/>
  <c r="J152" i="58"/>
  <c r="I17" i="59"/>
  <c r="O5" i="59"/>
  <c r="J158" i="58"/>
  <c r="J146" i="58"/>
  <c r="J134" i="58" s="1"/>
  <c r="J122" i="58" s="1"/>
  <c r="J110" i="58" s="1"/>
  <c r="J98" i="58" s="1"/>
  <c r="J86" i="58" s="1"/>
  <c r="J74" i="58" s="1"/>
  <c r="J62" i="58" s="1"/>
  <c r="J50" i="58" s="1"/>
  <c r="J38" i="58" s="1"/>
  <c r="J26" i="58" s="1"/>
  <c r="J14" i="58" s="1"/>
  <c r="I19" i="59"/>
  <c r="O7" i="59"/>
  <c r="J154" i="58"/>
  <c r="J142" i="58"/>
  <c r="J130" i="58" s="1"/>
  <c r="J118" i="58" s="1"/>
  <c r="J106" i="58" s="1"/>
  <c r="J94" i="58" s="1"/>
  <c r="J82" i="58" s="1"/>
  <c r="J70" i="58" s="1"/>
  <c r="J58" i="58" s="1"/>
  <c r="J46" i="58" s="1"/>
  <c r="J34" i="58" s="1"/>
  <c r="J22" i="58" s="1"/>
  <c r="J10" i="58" s="1"/>
  <c r="J145" i="58"/>
  <c r="J133" i="58" s="1"/>
  <c r="J121" i="58" s="1"/>
  <c r="J109" i="58" s="1"/>
  <c r="J97" i="58" s="1"/>
  <c r="J85" i="58" s="1"/>
  <c r="J73" i="58" s="1"/>
  <c r="J61" i="58" s="1"/>
  <c r="J49" i="58" s="1"/>
  <c r="J37" i="58" s="1"/>
  <c r="J25" i="58" s="1"/>
  <c r="J13" i="58" s="1"/>
  <c r="J157" i="58"/>
  <c r="I23" i="59"/>
  <c r="O11" i="59"/>
  <c r="J144" i="58"/>
  <c r="J132" i="58" s="1"/>
  <c r="J120" i="58" s="1"/>
  <c r="J108" i="58" s="1"/>
  <c r="J96" i="58" s="1"/>
  <c r="J84" i="58" s="1"/>
  <c r="J72" i="58" s="1"/>
  <c r="J60" i="58" s="1"/>
  <c r="J48" i="58" s="1"/>
  <c r="J36" i="58" s="1"/>
  <c r="J24" i="58" s="1"/>
  <c r="J12" i="58" s="1"/>
  <c r="J156" i="58"/>
  <c r="J141" i="58"/>
  <c r="J129" i="58" s="1"/>
  <c r="J117" i="58" s="1"/>
  <c r="J105" i="58" s="1"/>
  <c r="J93" i="58" s="1"/>
  <c r="J81" i="58" s="1"/>
  <c r="J69" i="58" s="1"/>
  <c r="J57" i="58" s="1"/>
  <c r="J45" i="58" s="1"/>
  <c r="J33" i="58" s="1"/>
  <c r="J21" i="58" s="1"/>
  <c r="J9" i="58" s="1"/>
  <c r="J153" i="58"/>
  <c r="O6" i="59"/>
  <c r="I18" i="59"/>
  <c r="J150" i="58"/>
  <c r="J138" i="58"/>
  <c r="J126" i="58" s="1"/>
  <c r="J114" i="58" s="1"/>
  <c r="J102" i="58" s="1"/>
  <c r="J90" i="58" s="1"/>
  <c r="J78" i="58" s="1"/>
  <c r="J66" i="58" s="1"/>
  <c r="J54" i="58" s="1"/>
  <c r="J42" i="58" s="1"/>
  <c r="J30" i="58" s="1"/>
  <c r="J18" i="58" s="1"/>
  <c r="J6" i="58" s="1"/>
  <c r="I15" i="59"/>
  <c r="O3" i="59"/>
  <c r="J151" i="58"/>
  <c r="J139" i="58"/>
  <c r="J127" i="58" s="1"/>
  <c r="J115" i="58" s="1"/>
  <c r="J103" i="58" s="1"/>
  <c r="J91" i="58" s="1"/>
  <c r="J79" i="58" s="1"/>
  <c r="J67" i="58" s="1"/>
  <c r="J55" i="58" s="1"/>
  <c r="J43" i="58" s="1"/>
  <c r="J31" i="58" s="1"/>
  <c r="J19" i="58" s="1"/>
  <c r="J7" i="58" s="1"/>
  <c r="I22" i="59"/>
  <c r="O10" i="59"/>
  <c r="O19" i="46"/>
  <c r="O15" i="46"/>
  <c r="J25" i="46"/>
  <c r="J37" i="46" s="1"/>
  <c r="J49" i="46" s="1"/>
  <c r="J61" i="46" s="1"/>
  <c r="J73" i="46" s="1"/>
  <c r="J85" i="46" s="1"/>
  <c r="J97" i="46" s="1"/>
  <c r="J109" i="46" s="1"/>
  <c r="J121" i="46" s="1"/>
  <c r="J133" i="46" s="1"/>
  <c r="J145" i="46" s="1"/>
  <c r="J157" i="46" s="1"/>
  <c r="J26" i="46"/>
  <c r="J38" i="46" s="1"/>
  <c r="J50" i="46" s="1"/>
  <c r="J62" i="46" s="1"/>
  <c r="J74" i="46" s="1"/>
  <c r="J86" i="46" s="1"/>
  <c r="J98" i="46" s="1"/>
  <c r="J110" i="46" s="1"/>
  <c r="J122" i="46" s="1"/>
  <c r="J134" i="46" s="1"/>
  <c r="J146" i="46" s="1"/>
  <c r="J158" i="46" s="1"/>
  <c r="O13" i="46"/>
  <c r="O14" i="46"/>
  <c r="I27" i="46"/>
  <c r="O27" i="46" s="1"/>
  <c r="I30" i="46"/>
  <c r="O30" i="46" s="1"/>
  <c r="I38" i="46"/>
  <c r="I35" i="46"/>
  <c r="O35" i="46" s="1"/>
  <c r="I31" i="46"/>
  <c r="O31" i="46" s="1"/>
  <c r="I37" i="46"/>
  <c r="I29" i="46"/>
  <c r="O29" i="46" s="1"/>
  <c r="I155" i="45"/>
  <c r="I152" i="45"/>
  <c r="I153" i="45"/>
  <c r="I150" i="45"/>
  <c r="I147" i="45"/>
  <c r="I122" i="45"/>
  <c r="O122" i="45" s="1"/>
  <c r="I113" i="45"/>
  <c r="O113" i="45" s="1"/>
  <c r="I115" i="45"/>
  <c r="O115" i="45" s="1"/>
  <c r="I118" i="45"/>
  <c r="O118" i="45" s="1"/>
  <c r="I120" i="45"/>
  <c r="O120" i="45" s="1"/>
  <c r="I112" i="45"/>
  <c r="O112" i="45" s="1"/>
  <c r="I121" i="45"/>
  <c r="O121" i="45" s="1"/>
  <c r="H158" i="45"/>
  <c r="J158" i="45" s="1"/>
  <c r="H157" i="45"/>
  <c r="J157" i="45" s="1"/>
  <c r="U27" i="17"/>
  <c r="T26" i="17"/>
  <c r="U61" i="17"/>
  <c r="U72" i="17"/>
  <c r="J38" i="9"/>
  <c r="X27" i="17"/>
  <c r="X61" i="17"/>
  <c r="X73" i="17"/>
  <c r="X74" i="17" s="1"/>
  <c r="X75" i="17" s="1"/>
  <c r="X76" i="17" s="1"/>
  <c r="X77" i="17" s="1"/>
  <c r="X78" i="17" s="1"/>
  <c r="X79" i="17" s="1"/>
  <c r="X80" i="17" s="1"/>
  <c r="X81" i="17" s="1"/>
  <c r="X82" i="17" s="1"/>
  <c r="X83" i="17" s="1"/>
  <c r="M78" i="37"/>
  <c r="K139" i="46"/>
  <c r="M51" i="37"/>
  <c r="M74" i="37"/>
  <c r="M70" i="37"/>
  <c r="M68" i="37"/>
  <c r="N133" i="22"/>
  <c r="O133" i="22"/>
  <c r="P133" i="22" s="1"/>
  <c r="M60" i="37"/>
  <c r="M131" i="22"/>
  <c r="K143" i="46"/>
  <c r="M130" i="22"/>
  <c r="M73" i="37"/>
  <c r="M59" i="37"/>
  <c r="K145" i="46"/>
  <c r="K144" i="46"/>
  <c r="M67" i="37"/>
  <c r="M57" i="37"/>
  <c r="N57" i="37" s="1"/>
  <c r="K137" i="46"/>
  <c r="M128" i="22"/>
  <c r="M64" i="37"/>
  <c r="M56" i="22"/>
  <c r="N56" i="22" s="1"/>
  <c r="M66" i="37"/>
  <c r="M53" i="37"/>
  <c r="K141" i="46"/>
  <c r="M132" i="22"/>
  <c r="M134" i="22"/>
  <c r="O129" i="22"/>
  <c r="P129" i="22" s="1"/>
  <c r="N129" i="22"/>
  <c r="N169" i="37"/>
  <c r="N61" i="22"/>
  <c r="N57" i="22"/>
  <c r="N55" i="22"/>
  <c r="N119" i="22"/>
  <c r="N60" i="22"/>
  <c r="N53" i="22"/>
  <c r="Q172" i="22"/>
  <c r="N80" i="22"/>
  <c r="N114" i="22"/>
  <c r="N46" i="22"/>
  <c r="N125" i="22"/>
  <c r="N118" i="22"/>
  <c r="N59" i="22"/>
  <c r="N44" i="22"/>
  <c r="N117" i="22"/>
  <c r="N42" i="22"/>
  <c r="N122" i="22"/>
  <c r="N120" i="22"/>
  <c r="N79" i="22"/>
  <c r="N115" i="22"/>
  <c r="N116" i="22"/>
  <c r="N121" i="22"/>
  <c r="N127" i="22"/>
  <c r="N82" i="22"/>
  <c r="N113" i="22"/>
  <c r="N78" i="22"/>
  <c r="N47" i="22"/>
  <c r="Q169" i="22"/>
  <c r="H158" i="37"/>
  <c r="H157" i="22"/>
  <c r="G153" i="22"/>
  <c r="G157" i="22"/>
  <c r="G148" i="22"/>
  <c r="G158" i="22"/>
  <c r="G151" i="22"/>
  <c r="G150" i="22"/>
  <c r="G149" i="22"/>
  <c r="G152" i="22"/>
  <c r="G154" i="22"/>
  <c r="I141" i="22"/>
  <c r="N93" i="22"/>
  <c r="I139" i="22"/>
  <c r="N91" i="22"/>
  <c r="I140" i="22"/>
  <c r="N92" i="22"/>
  <c r="N75" i="22"/>
  <c r="I145" i="22"/>
  <c r="N97" i="22"/>
  <c r="N83" i="22"/>
  <c r="N50" i="22"/>
  <c r="N86" i="22"/>
  <c r="N39" i="22"/>
  <c r="N111" i="22"/>
  <c r="O176" i="22"/>
  <c r="I144" i="22"/>
  <c r="N96" i="22"/>
  <c r="I137" i="22"/>
  <c r="N89" i="22"/>
  <c r="I143" i="22"/>
  <c r="N95" i="22"/>
  <c r="N48" i="22"/>
  <c r="G155" i="22"/>
  <c r="G157" i="37"/>
  <c r="G156" i="22"/>
  <c r="G156" i="37"/>
  <c r="P9" i="22"/>
  <c r="P21" i="22"/>
  <c r="P7" i="22"/>
  <c r="H156" i="22"/>
  <c r="H150" i="22"/>
  <c r="H149" i="22"/>
  <c r="H155" i="22"/>
  <c r="H152" i="22"/>
  <c r="H151" i="22"/>
  <c r="G147" i="22"/>
  <c r="O47" i="22"/>
  <c r="P47" i="22" s="1"/>
  <c r="O15" i="22"/>
  <c r="P15" i="22" s="1"/>
  <c r="O27" i="22"/>
  <c r="P27" i="22" s="1"/>
  <c r="O30" i="37"/>
  <c r="P30" i="37" s="1"/>
  <c r="O32" i="37"/>
  <c r="P32" i="37" s="1"/>
  <c r="O33" i="37"/>
  <c r="N33" i="37"/>
  <c r="P168" i="37" s="1"/>
  <c r="O49" i="37"/>
  <c r="P49" i="37" s="1"/>
  <c r="N49" i="37"/>
  <c r="O47" i="37"/>
  <c r="P47" i="37" s="1"/>
  <c r="N47" i="37"/>
  <c r="O45" i="37"/>
  <c r="N45" i="37"/>
  <c r="H147" i="22"/>
  <c r="O43" i="37"/>
  <c r="P43" i="37" s="1"/>
  <c r="O44" i="22"/>
  <c r="O46" i="22"/>
  <c r="O60" i="22"/>
  <c r="P60" i="22" s="1"/>
  <c r="O55" i="22"/>
  <c r="P55" i="22" s="1"/>
  <c r="M126" i="22"/>
  <c r="M58" i="22"/>
  <c r="M123" i="22"/>
  <c r="N56" i="37"/>
  <c r="M51" i="22"/>
  <c r="M108" i="22"/>
  <c r="M98" i="22"/>
  <c r="M54" i="22"/>
  <c r="M103" i="22"/>
  <c r="M107" i="22"/>
  <c r="M87" i="22"/>
  <c r="N53" i="37"/>
  <c r="O61" i="22"/>
  <c r="P61" i="22" s="1"/>
  <c r="O57" i="22"/>
  <c r="P57" i="22" s="1"/>
  <c r="O52" i="22"/>
  <c r="P52" i="22" s="1"/>
  <c r="O59" i="22"/>
  <c r="P59" i="22" s="1"/>
  <c r="M109" i="22"/>
  <c r="M94" i="22"/>
  <c r="M104" i="22"/>
  <c r="M62" i="22"/>
  <c r="M90" i="22"/>
  <c r="M105" i="22"/>
  <c r="M101" i="22"/>
  <c r="O27" i="37"/>
  <c r="P27" i="37" s="1"/>
  <c r="O42" i="22"/>
  <c r="P42" i="22" s="1"/>
  <c r="W27" i="17" l="1"/>
  <c r="W45" i="17"/>
  <c r="J39" i="9"/>
  <c r="I111" i="45"/>
  <c r="O111" i="45" s="1"/>
  <c r="O126" i="45"/>
  <c r="O131" i="45"/>
  <c r="O128" i="45"/>
  <c r="I32" i="46"/>
  <c r="O32" i="46" s="1"/>
  <c r="I117" i="45"/>
  <c r="O117" i="45" s="1"/>
  <c r="P10" i="46"/>
  <c r="P8" i="46"/>
  <c r="Q12" i="46"/>
  <c r="Q6" i="46"/>
  <c r="R6" i="46" s="1"/>
  <c r="Q11" i="46"/>
  <c r="Q4" i="46"/>
  <c r="I36" i="46"/>
  <c r="O36" i="46" s="1"/>
  <c r="I149" i="45"/>
  <c r="Q9" i="46"/>
  <c r="R9" i="46" s="1"/>
  <c r="I34" i="46"/>
  <c r="O34" i="46" s="1"/>
  <c r="P3" i="46"/>
  <c r="P5" i="46"/>
  <c r="Q7" i="46"/>
  <c r="R7" i="46" s="1"/>
  <c r="I28" i="46"/>
  <c r="O28" i="46" s="1"/>
  <c r="I33" i="46"/>
  <c r="O33" i="46" s="1"/>
  <c r="O25" i="46"/>
  <c r="P25" i="46" s="1"/>
  <c r="O38" i="46"/>
  <c r="O37" i="46"/>
  <c r="Q3" i="59"/>
  <c r="P3" i="59"/>
  <c r="Q167" i="59"/>
  <c r="P6" i="59"/>
  <c r="Q6" i="59"/>
  <c r="I31" i="59"/>
  <c r="O19" i="59"/>
  <c r="I29" i="59"/>
  <c r="O17" i="59"/>
  <c r="I32" i="59"/>
  <c r="O20" i="59"/>
  <c r="I37" i="59"/>
  <c r="O25" i="59"/>
  <c r="P14" i="59"/>
  <c r="Q14" i="59"/>
  <c r="Q10" i="59"/>
  <c r="P10" i="59"/>
  <c r="I27" i="59"/>
  <c r="O15" i="59"/>
  <c r="Q11" i="59"/>
  <c r="P11" i="59"/>
  <c r="P4" i="59"/>
  <c r="Q4" i="59"/>
  <c r="P12" i="59"/>
  <c r="Q12" i="59"/>
  <c r="O22" i="59"/>
  <c r="I34" i="59"/>
  <c r="I35" i="59"/>
  <c r="O23" i="59"/>
  <c r="I28" i="59"/>
  <c r="O16" i="59"/>
  <c r="I36" i="59"/>
  <c r="O24" i="59"/>
  <c r="Q9" i="59"/>
  <c r="P9" i="59"/>
  <c r="I30" i="59"/>
  <c r="O18" i="59"/>
  <c r="Q7" i="59"/>
  <c r="P7" i="59"/>
  <c r="P5" i="59"/>
  <c r="Q5" i="59"/>
  <c r="P8" i="59"/>
  <c r="Q8" i="59"/>
  <c r="Q13" i="59"/>
  <c r="P13" i="59"/>
  <c r="I33" i="59"/>
  <c r="O21" i="59"/>
  <c r="I38" i="59"/>
  <c r="O26" i="59"/>
  <c r="O26" i="46"/>
  <c r="Q26" i="46" s="1"/>
  <c r="Q167" i="46"/>
  <c r="Q17" i="46"/>
  <c r="P17" i="46"/>
  <c r="Q19" i="46"/>
  <c r="P19" i="46"/>
  <c r="Q22" i="46"/>
  <c r="P22" i="46"/>
  <c r="R5" i="46"/>
  <c r="R10" i="46"/>
  <c r="I50" i="46"/>
  <c r="O50" i="46" s="1"/>
  <c r="I41" i="46"/>
  <c r="O41" i="46" s="1"/>
  <c r="I43" i="46"/>
  <c r="O43" i="46" s="1"/>
  <c r="R8" i="46"/>
  <c r="Q16" i="46"/>
  <c r="P16" i="46"/>
  <c r="P18" i="46"/>
  <c r="Q18" i="46"/>
  <c r="Q15" i="46"/>
  <c r="P15" i="46"/>
  <c r="P20" i="46"/>
  <c r="Q20" i="46"/>
  <c r="Q23" i="46"/>
  <c r="P23" i="46"/>
  <c r="P13" i="46"/>
  <c r="Q13" i="46"/>
  <c r="I42" i="46"/>
  <c r="O42" i="46" s="1"/>
  <c r="I39" i="46"/>
  <c r="O39" i="46" s="1"/>
  <c r="I49" i="46"/>
  <c r="O49" i="46" s="1"/>
  <c r="I47" i="46"/>
  <c r="O47" i="46" s="1"/>
  <c r="Q21" i="46"/>
  <c r="P21" i="46"/>
  <c r="P24" i="46"/>
  <c r="Q24" i="46"/>
  <c r="P14" i="46"/>
  <c r="Q14" i="46"/>
  <c r="R3" i="46"/>
  <c r="I102" i="45"/>
  <c r="O102" i="45" s="1"/>
  <c r="I109" i="45"/>
  <c r="O109" i="45" s="1"/>
  <c r="I108" i="45"/>
  <c r="O108" i="45" s="1"/>
  <c r="I103" i="45"/>
  <c r="O103" i="45" s="1"/>
  <c r="I110" i="45"/>
  <c r="O110" i="45" s="1"/>
  <c r="I104" i="45"/>
  <c r="O104" i="45" s="1"/>
  <c r="I107" i="45"/>
  <c r="O107" i="45" s="1"/>
  <c r="I100" i="45"/>
  <c r="O100" i="45" s="1"/>
  <c r="I106" i="45"/>
  <c r="O106" i="45" s="1"/>
  <c r="I101" i="45"/>
  <c r="O101" i="45" s="1"/>
  <c r="H159" i="45"/>
  <c r="T61" i="17"/>
  <c r="U62" i="17"/>
  <c r="U63" i="17" s="1"/>
  <c r="U64" i="17" s="1"/>
  <c r="U65" i="17" s="1"/>
  <c r="U66" i="17" s="1"/>
  <c r="U67" i="17" s="1"/>
  <c r="U68" i="17" s="1"/>
  <c r="U69" i="17" s="1"/>
  <c r="U70" i="17" s="1"/>
  <c r="U71" i="17" s="1"/>
  <c r="U73" i="17" s="1"/>
  <c r="U74" i="17" s="1"/>
  <c r="U75" i="17" s="1"/>
  <c r="U76" i="17" s="1"/>
  <c r="U77" i="17" s="1"/>
  <c r="U78" i="17" s="1"/>
  <c r="U79" i="17" s="1"/>
  <c r="U80" i="17" s="1"/>
  <c r="U81" i="17" s="1"/>
  <c r="U82" i="17" s="1"/>
  <c r="U83" i="17" s="1"/>
  <c r="T44" i="17"/>
  <c r="T40" i="17"/>
  <c r="T27" i="17"/>
  <c r="X62" i="17"/>
  <c r="X63" i="17" s="1"/>
  <c r="X64" i="17" s="1"/>
  <c r="X65" i="17" s="1"/>
  <c r="X66" i="17" s="1"/>
  <c r="X67" i="17" s="1"/>
  <c r="X68" i="17" s="1"/>
  <c r="X69" i="17" s="1"/>
  <c r="X70" i="17" s="1"/>
  <c r="X71" i="17" s="1"/>
  <c r="X72" i="17" s="1"/>
  <c r="W61" i="17"/>
  <c r="M71" i="37"/>
  <c r="M82" i="37"/>
  <c r="M80" i="37"/>
  <c r="M86" i="37"/>
  <c r="M63" i="37"/>
  <c r="N63" i="37" s="1"/>
  <c r="N132" i="22"/>
  <c r="O132" i="22"/>
  <c r="P132" i="22" s="1"/>
  <c r="K146" i="46"/>
  <c r="N131" i="22"/>
  <c r="O131" i="22"/>
  <c r="P131" i="22" s="1"/>
  <c r="M79" i="37"/>
  <c r="M76" i="37"/>
  <c r="O56" i="22"/>
  <c r="P56" i="22" s="1"/>
  <c r="K140" i="46"/>
  <c r="M69" i="37"/>
  <c r="K138" i="46"/>
  <c r="M72" i="37"/>
  <c r="K151" i="46"/>
  <c r="N128" i="22"/>
  <c r="O128" i="22"/>
  <c r="P128" i="22" s="1"/>
  <c r="K156" i="46"/>
  <c r="N130" i="22"/>
  <c r="O130" i="22"/>
  <c r="P130" i="22" s="1"/>
  <c r="K155" i="46"/>
  <c r="K142" i="46"/>
  <c r="M85" i="37"/>
  <c r="N134" i="22"/>
  <c r="O134" i="22"/>
  <c r="P134" i="22" s="1"/>
  <c r="M90" i="37"/>
  <c r="M65" i="37"/>
  <c r="K135" i="46"/>
  <c r="O135" i="46" s="1"/>
  <c r="K157" i="46"/>
  <c r="K149" i="46"/>
  <c r="K153" i="46"/>
  <c r="N170" i="37"/>
  <c r="N54" i="22"/>
  <c r="N62" i="22"/>
  <c r="Q176" i="22"/>
  <c r="N123" i="22"/>
  <c r="N58" i="22"/>
  <c r="H158" i="22"/>
  <c r="H157" i="37"/>
  <c r="I152" i="22"/>
  <c r="N104" i="22"/>
  <c r="O173" i="22"/>
  <c r="I142" i="22"/>
  <c r="N94" i="22"/>
  <c r="N126" i="22"/>
  <c r="O126" i="22"/>
  <c r="P126" i="22" s="1"/>
  <c r="O48" i="22"/>
  <c r="Q173" i="22"/>
  <c r="I138" i="22"/>
  <c r="N90" i="22"/>
  <c r="I135" i="22"/>
  <c r="Q170" i="22"/>
  <c r="I149" i="22"/>
  <c r="N101" i="22"/>
  <c r="I153" i="22"/>
  <c r="N105" i="22"/>
  <c r="I157" i="22"/>
  <c r="N109" i="22"/>
  <c r="I155" i="22"/>
  <c r="N107" i="22"/>
  <c r="I151" i="22"/>
  <c r="N103" i="22"/>
  <c r="I146" i="22"/>
  <c r="N98" i="22"/>
  <c r="I156" i="22"/>
  <c r="N108" i="22"/>
  <c r="N51" i="22"/>
  <c r="O171" i="22"/>
  <c r="O170" i="22"/>
  <c r="O50" i="22"/>
  <c r="G160" i="46"/>
  <c r="P46" i="22"/>
  <c r="P44" i="22"/>
  <c r="O62" i="22"/>
  <c r="P62" i="22" s="1"/>
  <c r="O39" i="22"/>
  <c r="P33" i="37"/>
  <c r="P45" i="37"/>
  <c r="O39" i="37"/>
  <c r="N39" i="37"/>
  <c r="O44" i="37"/>
  <c r="P44" i="37" s="1"/>
  <c r="N44" i="37"/>
  <c r="O42" i="37"/>
  <c r="N42" i="37"/>
  <c r="O40" i="37"/>
  <c r="N40" i="37"/>
  <c r="O48" i="37"/>
  <c r="P48" i="37" s="1"/>
  <c r="N48" i="37"/>
  <c r="O50" i="37"/>
  <c r="P50" i="37" s="1"/>
  <c r="N50" i="37"/>
  <c r="O41" i="37"/>
  <c r="P41" i="37" s="1"/>
  <c r="N41" i="37"/>
  <c r="O46" i="37"/>
  <c r="N46" i="37"/>
  <c r="C49" i="11"/>
  <c r="B6" i="9"/>
  <c r="F49" i="11"/>
  <c r="B9" i="9"/>
  <c r="O53" i="37"/>
  <c r="N51" i="37"/>
  <c r="O57" i="37"/>
  <c r="O56" i="37"/>
  <c r="P56" i="37" s="1"/>
  <c r="O53" i="22"/>
  <c r="P53" i="22" s="1"/>
  <c r="O71" i="22"/>
  <c r="P71" i="22" s="1"/>
  <c r="O54" i="22"/>
  <c r="P54" i="22" s="1"/>
  <c r="O58" i="22"/>
  <c r="P58" i="22" s="1"/>
  <c r="O64" i="22"/>
  <c r="P64" i="22" s="1"/>
  <c r="M102" i="22"/>
  <c r="O69" i="22"/>
  <c r="P69" i="22" s="1"/>
  <c r="O70" i="22"/>
  <c r="P70" i="22" s="1"/>
  <c r="F19" i="17"/>
  <c r="AB15" i="17"/>
  <c r="H36" i="9"/>
  <c r="G39" i="11"/>
  <c r="I19" i="17"/>
  <c r="AB21" i="17"/>
  <c r="AB22" i="17"/>
  <c r="O65" i="22"/>
  <c r="P65" i="22" s="1"/>
  <c r="M106" i="22"/>
  <c r="O67" i="22"/>
  <c r="P67" i="22" s="1"/>
  <c r="O72" i="22"/>
  <c r="P72" i="22" s="1"/>
  <c r="O68" i="22"/>
  <c r="P68" i="22" s="1"/>
  <c r="O73" i="22"/>
  <c r="P73" i="22" s="1"/>
  <c r="M110" i="22"/>
  <c r="O74" i="22"/>
  <c r="P74" i="22" s="1"/>
  <c r="O66" i="22"/>
  <c r="P66" i="22" s="1"/>
  <c r="M99" i="22"/>
  <c r="B26" i="17" l="1"/>
  <c r="AB25" i="17"/>
  <c r="AB24" i="17"/>
  <c r="Z23" i="17"/>
  <c r="AB23" i="17"/>
  <c r="Z18" i="17"/>
  <c r="AB18" i="17"/>
  <c r="Z20" i="17"/>
  <c r="AB20" i="17"/>
  <c r="AB19" i="17"/>
  <c r="Z16" i="17"/>
  <c r="AB16" i="17"/>
  <c r="Z17" i="17"/>
  <c r="AB17" i="17"/>
  <c r="C17" i="17"/>
  <c r="I99" i="45"/>
  <c r="O99" i="45" s="1"/>
  <c r="I44" i="46"/>
  <c r="O44" i="46" s="1"/>
  <c r="I105" i="45"/>
  <c r="O105" i="45" s="1"/>
  <c r="R11" i="46"/>
  <c r="I48" i="46"/>
  <c r="O48" i="46" s="1"/>
  <c r="R12" i="46"/>
  <c r="I40" i="46"/>
  <c r="O40" i="46" s="1"/>
  <c r="I46" i="46"/>
  <c r="O46" i="46" s="1"/>
  <c r="R4" i="46"/>
  <c r="I45" i="46"/>
  <c r="O45" i="46" s="1"/>
  <c r="Q25" i="46"/>
  <c r="Q168" i="46"/>
  <c r="P26" i="46"/>
  <c r="S168" i="46" s="1"/>
  <c r="I45" i="59"/>
  <c r="O33" i="59"/>
  <c r="R8" i="59"/>
  <c r="O30" i="59"/>
  <c r="I42" i="59"/>
  <c r="I48" i="59"/>
  <c r="O36" i="59"/>
  <c r="O28" i="59"/>
  <c r="I40" i="59"/>
  <c r="P22" i="59"/>
  <c r="Q22" i="59"/>
  <c r="R12" i="59"/>
  <c r="P20" i="59"/>
  <c r="Q20" i="59"/>
  <c r="Q19" i="59"/>
  <c r="P19" i="59"/>
  <c r="Q26" i="59"/>
  <c r="P26" i="59"/>
  <c r="Q23" i="59"/>
  <c r="P23" i="59"/>
  <c r="R10" i="59"/>
  <c r="I44" i="59"/>
  <c r="O32" i="59"/>
  <c r="I43" i="59"/>
  <c r="O31" i="59"/>
  <c r="O38" i="59"/>
  <c r="I50" i="59"/>
  <c r="R13" i="59"/>
  <c r="R7" i="59"/>
  <c r="I47" i="59"/>
  <c r="O35" i="59"/>
  <c r="R4" i="59"/>
  <c r="Q15" i="59"/>
  <c r="P15" i="59"/>
  <c r="Q168" i="59"/>
  <c r="Q25" i="59"/>
  <c r="P25" i="59"/>
  <c r="Q17" i="59"/>
  <c r="P17" i="59"/>
  <c r="S167" i="59"/>
  <c r="P21" i="59"/>
  <c r="Q21" i="59"/>
  <c r="R5" i="59"/>
  <c r="Q18" i="59"/>
  <c r="P18" i="59"/>
  <c r="R9" i="59"/>
  <c r="P24" i="59"/>
  <c r="Q24" i="59"/>
  <c r="P16" i="59"/>
  <c r="Q16" i="59"/>
  <c r="I46" i="59"/>
  <c r="O34" i="59"/>
  <c r="R11" i="59"/>
  <c r="I39" i="59"/>
  <c r="O27" i="59"/>
  <c r="R14" i="59"/>
  <c r="I49" i="59"/>
  <c r="O37" i="59"/>
  <c r="I41" i="59"/>
  <c r="O29" i="59"/>
  <c r="R6" i="59"/>
  <c r="R3" i="59"/>
  <c r="S167" i="46"/>
  <c r="R24" i="46"/>
  <c r="R26" i="46"/>
  <c r="Q35" i="46"/>
  <c r="P35" i="46"/>
  <c r="Q37" i="46"/>
  <c r="P37" i="46"/>
  <c r="Q27" i="46"/>
  <c r="P27" i="46"/>
  <c r="Q169" i="46"/>
  <c r="Q28" i="46"/>
  <c r="P28" i="46"/>
  <c r="R13" i="46"/>
  <c r="R20" i="46"/>
  <c r="I55" i="46"/>
  <c r="O55" i="46" s="1"/>
  <c r="P36" i="46"/>
  <c r="Q36" i="46"/>
  <c r="P38" i="46"/>
  <c r="Q38" i="46"/>
  <c r="I59" i="46"/>
  <c r="O59" i="46" s="1"/>
  <c r="I61" i="46"/>
  <c r="O61" i="46" s="1"/>
  <c r="I51" i="46"/>
  <c r="O51" i="46" s="1"/>
  <c r="Q34" i="46"/>
  <c r="P34" i="46"/>
  <c r="Q29" i="46"/>
  <c r="P29" i="46"/>
  <c r="I62" i="46"/>
  <c r="O62" i="46" s="1"/>
  <c r="R19" i="46"/>
  <c r="R14" i="46"/>
  <c r="Q32" i="46"/>
  <c r="P32" i="46"/>
  <c r="P30" i="46"/>
  <c r="Q30" i="46"/>
  <c r="R15" i="46"/>
  <c r="R16" i="46"/>
  <c r="I53" i="46"/>
  <c r="O53" i="46" s="1"/>
  <c r="P33" i="46"/>
  <c r="Q33" i="46"/>
  <c r="R21" i="46"/>
  <c r="I54" i="46"/>
  <c r="O54" i="46" s="1"/>
  <c r="R23" i="46"/>
  <c r="R18" i="46"/>
  <c r="P31" i="46"/>
  <c r="Q31" i="46"/>
  <c r="R22" i="46"/>
  <c r="R17" i="46"/>
  <c r="I89" i="45"/>
  <c r="O89" i="45" s="1"/>
  <c r="I88" i="45"/>
  <c r="O88" i="45" s="1"/>
  <c r="I92" i="45"/>
  <c r="O92" i="45" s="1"/>
  <c r="I98" i="45"/>
  <c r="O98" i="45" s="1"/>
  <c r="I96" i="45"/>
  <c r="O96" i="45" s="1"/>
  <c r="I94" i="45"/>
  <c r="O94" i="45" s="1"/>
  <c r="I95" i="45"/>
  <c r="O95" i="45" s="1"/>
  <c r="I91" i="45"/>
  <c r="O91" i="45" s="1"/>
  <c r="I97" i="45"/>
  <c r="O97" i="45" s="1"/>
  <c r="I90" i="45"/>
  <c r="O90" i="45" s="1"/>
  <c r="U40" i="17"/>
  <c r="N39" i="11"/>
  <c r="Z21" i="17"/>
  <c r="Z19" i="17"/>
  <c r="C15" i="17"/>
  <c r="Z15" i="17"/>
  <c r="Z22" i="17"/>
  <c r="Z25" i="17"/>
  <c r="Z24" i="17"/>
  <c r="T45" i="17"/>
  <c r="T41" i="17"/>
  <c r="T62" i="17"/>
  <c r="T63" i="17" s="1"/>
  <c r="T64" i="17" s="1"/>
  <c r="T65" i="17" s="1"/>
  <c r="T66" i="17" s="1"/>
  <c r="T67" i="17" s="1"/>
  <c r="T68" i="17" s="1"/>
  <c r="T69" i="17" s="1"/>
  <c r="T70" i="17" s="1"/>
  <c r="T71" i="17" s="1"/>
  <c r="T72" i="17" s="1"/>
  <c r="W62" i="17"/>
  <c r="M102" i="37"/>
  <c r="M98" i="37"/>
  <c r="M83" i="37"/>
  <c r="M97" i="37"/>
  <c r="M75" i="37"/>
  <c r="N75" i="37" s="1"/>
  <c r="M92" i="37"/>
  <c r="Q171" i="22"/>
  <c r="M84" i="37"/>
  <c r="K152" i="46"/>
  <c r="K158" i="46"/>
  <c r="I20" i="17"/>
  <c r="M77" i="37"/>
  <c r="K154" i="46"/>
  <c r="N171" i="37"/>
  <c r="M88" i="37"/>
  <c r="M91" i="37"/>
  <c r="M94" i="37"/>
  <c r="K150" i="46"/>
  <c r="M81" i="37"/>
  <c r="K147" i="46"/>
  <c r="O21" i="17"/>
  <c r="I22" i="17"/>
  <c r="I21" i="17"/>
  <c r="F22" i="17"/>
  <c r="C22" i="17"/>
  <c r="G29" i="11"/>
  <c r="O19" i="17"/>
  <c r="F21" i="17"/>
  <c r="C18" i="17"/>
  <c r="F53" i="11" s="1"/>
  <c r="C20" i="17"/>
  <c r="L20" i="17"/>
  <c r="R22" i="17"/>
  <c r="F24" i="17"/>
  <c r="F25" i="17"/>
  <c r="I24" i="17"/>
  <c r="C25" i="17"/>
  <c r="F20" i="17"/>
  <c r="F26" i="17" s="1"/>
  <c r="F23" i="17"/>
  <c r="O23" i="17"/>
  <c r="O24" i="17"/>
  <c r="C24" i="17"/>
  <c r="C19" i="17"/>
  <c r="L25" i="17"/>
  <c r="O22" i="17"/>
  <c r="L22" i="17"/>
  <c r="G24" i="11"/>
  <c r="L19" i="17"/>
  <c r="O20" i="17"/>
  <c r="C21" i="17"/>
  <c r="L24" i="17"/>
  <c r="L23" i="17"/>
  <c r="H37" i="9"/>
  <c r="R25" i="17"/>
  <c r="I25" i="17"/>
  <c r="C16" i="17"/>
  <c r="D53" i="11" s="1"/>
  <c r="I23" i="17"/>
  <c r="O25" i="17"/>
  <c r="R24" i="17"/>
  <c r="C23" i="17"/>
  <c r="L21" i="17"/>
  <c r="R23" i="17"/>
  <c r="H24" i="11"/>
  <c r="M19" i="11"/>
  <c r="H29" i="11"/>
  <c r="H39" i="11"/>
  <c r="I29" i="11"/>
  <c r="I24" i="11"/>
  <c r="I39" i="11"/>
  <c r="C53" i="11"/>
  <c r="C11" i="11"/>
  <c r="H19" i="11"/>
  <c r="F54" i="11"/>
  <c r="F60" i="11" s="1"/>
  <c r="F7" i="11"/>
  <c r="C7" i="11"/>
  <c r="C54" i="11"/>
  <c r="C60" i="11" s="1"/>
  <c r="H160" i="46"/>
  <c r="J39" i="11"/>
  <c r="M39" i="11"/>
  <c r="I154" i="22"/>
  <c r="N106" i="22"/>
  <c r="P50" i="22"/>
  <c r="P48" i="22"/>
  <c r="I147" i="22"/>
  <c r="I158" i="22"/>
  <c r="N110" i="22"/>
  <c r="I150" i="22"/>
  <c r="N102" i="22"/>
  <c r="N87" i="22"/>
  <c r="Q174" i="22" s="1"/>
  <c r="O174" i="22"/>
  <c r="J11" i="11"/>
  <c r="C34" i="9"/>
  <c r="G31" i="9"/>
  <c r="I15" i="11"/>
  <c r="D33" i="9"/>
  <c r="I33" i="9"/>
  <c r="L11" i="11"/>
  <c r="C36" i="9"/>
  <c r="J15" i="11"/>
  <c r="D34" i="9"/>
  <c r="I35" i="9"/>
  <c r="K39" i="11"/>
  <c r="G11" i="11"/>
  <c r="C31" i="9"/>
  <c r="C27" i="9"/>
  <c r="M24" i="11"/>
  <c r="F37" i="9"/>
  <c r="E32" i="9"/>
  <c r="J29" i="11"/>
  <c r="G34" i="9"/>
  <c r="J24" i="11"/>
  <c r="F34" i="9"/>
  <c r="M11" i="11"/>
  <c r="F31" i="9"/>
  <c r="G32" i="9"/>
  <c r="F11" i="11"/>
  <c r="F63" i="11" s="1"/>
  <c r="F64" i="11" s="1"/>
  <c r="C30" i="9"/>
  <c r="H11" i="11"/>
  <c r="C32" i="9"/>
  <c r="F32" i="9"/>
  <c r="J34" i="11"/>
  <c r="H34" i="9"/>
  <c r="L15" i="11"/>
  <c r="D36" i="9"/>
  <c r="M15" i="11"/>
  <c r="L19" i="11"/>
  <c r="E36" i="9"/>
  <c r="G15" i="11"/>
  <c r="D31" i="9"/>
  <c r="I32" i="9"/>
  <c r="K24" i="11"/>
  <c r="F35" i="9"/>
  <c r="M34" i="11"/>
  <c r="I11" i="11"/>
  <c r="C33" i="9"/>
  <c r="L24" i="11"/>
  <c r="F36" i="9"/>
  <c r="G19" i="11"/>
  <c r="E31" i="9"/>
  <c r="G33" i="9"/>
  <c r="H15" i="11"/>
  <c r="D32" i="9"/>
  <c r="E11" i="11"/>
  <c r="C29" i="9"/>
  <c r="K15" i="11"/>
  <c r="D35" i="9"/>
  <c r="I36" i="9"/>
  <c r="L39" i="11"/>
  <c r="K29" i="11"/>
  <c r="G35" i="9"/>
  <c r="J19" i="11"/>
  <c r="E34" i="9"/>
  <c r="L29" i="11"/>
  <c r="G36" i="9"/>
  <c r="I19" i="11"/>
  <c r="E33" i="9"/>
  <c r="D11" i="11"/>
  <c r="C28" i="9"/>
  <c r="K19" i="11"/>
  <c r="E35" i="9"/>
  <c r="M29" i="11"/>
  <c r="G37" i="9"/>
  <c r="L34" i="11"/>
  <c r="K11" i="11"/>
  <c r="C35" i="9"/>
  <c r="F33" i="9"/>
  <c r="F41" i="9" s="1"/>
  <c r="K34" i="11"/>
  <c r="H35" i="9"/>
  <c r="I34" i="9"/>
  <c r="I37" i="9"/>
  <c r="I31" i="9"/>
  <c r="P39" i="22"/>
  <c r="O51" i="22"/>
  <c r="P51" i="22" s="1"/>
  <c r="P46" i="37"/>
  <c r="P40" i="37"/>
  <c r="P53" i="37"/>
  <c r="P169" i="37"/>
  <c r="P42" i="37"/>
  <c r="P39" i="37"/>
  <c r="P57" i="37"/>
  <c r="O54" i="37"/>
  <c r="P54" i="37" s="1"/>
  <c r="N54" i="37"/>
  <c r="O58" i="37"/>
  <c r="P58" i="37" s="1"/>
  <c r="N58" i="37"/>
  <c r="O60" i="37"/>
  <c r="P60" i="37" s="1"/>
  <c r="N60" i="37"/>
  <c r="O55" i="37"/>
  <c r="P55" i="37" s="1"/>
  <c r="N55" i="37"/>
  <c r="O52" i="37"/>
  <c r="N52" i="37"/>
  <c r="O61" i="37"/>
  <c r="N61" i="37"/>
  <c r="O59" i="37"/>
  <c r="N59" i="37"/>
  <c r="O62" i="37"/>
  <c r="P62" i="37" s="1"/>
  <c r="N62" i="37"/>
  <c r="B8" i="9"/>
  <c r="E49" i="11"/>
  <c r="D49" i="11"/>
  <c r="B7" i="9"/>
  <c r="N72" i="37"/>
  <c r="O79" i="22"/>
  <c r="P79" i="22" s="1"/>
  <c r="O51" i="37"/>
  <c r="P51" i="37" s="1"/>
  <c r="O63" i="22"/>
  <c r="P63" i="22" s="1"/>
  <c r="O77" i="22"/>
  <c r="P77" i="22" s="1"/>
  <c r="O84" i="22"/>
  <c r="P84" i="22" s="1"/>
  <c r="O83" i="22"/>
  <c r="P83" i="22" s="1"/>
  <c r="O76" i="22"/>
  <c r="P76" i="22" s="1"/>
  <c r="O78" i="22"/>
  <c r="P78" i="22" s="1"/>
  <c r="O63" i="37"/>
  <c r="P63" i="37" s="1"/>
  <c r="O86" i="22"/>
  <c r="P86" i="22" s="1"/>
  <c r="O81" i="22"/>
  <c r="P81" i="22" s="1"/>
  <c r="O85" i="22"/>
  <c r="P85" i="22" s="1"/>
  <c r="O82" i="22"/>
  <c r="P82" i="22" s="1"/>
  <c r="O80" i="22"/>
  <c r="P80" i="22" s="1"/>
  <c r="C26" i="17" l="1"/>
  <c r="C27" i="17" s="1"/>
  <c r="L26" i="17"/>
  <c r="B27" i="17"/>
  <c r="L63" i="11"/>
  <c r="L64" i="11" s="1"/>
  <c r="I87" i="45"/>
  <c r="O87" i="45" s="1"/>
  <c r="I56" i="46"/>
  <c r="O56" i="46" s="1"/>
  <c r="W63" i="17"/>
  <c r="I93" i="45"/>
  <c r="O93" i="45" s="1"/>
  <c r="I60" i="46"/>
  <c r="O60" i="46" s="1"/>
  <c r="I52" i="46"/>
  <c r="O52" i="46" s="1"/>
  <c r="I58" i="46"/>
  <c r="O58" i="46" s="1"/>
  <c r="I57" i="46"/>
  <c r="O57" i="46" s="1"/>
  <c r="R25" i="46"/>
  <c r="I53" i="59"/>
  <c r="O41" i="59"/>
  <c r="I61" i="59"/>
  <c r="O49" i="59"/>
  <c r="Q27" i="59"/>
  <c r="P27" i="59"/>
  <c r="Q169" i="59"/>
  <c r="O46" i="59"/>
  <c r="I58" i="59"/>
  <c r="R17" i="59"/>
  <c r="R25" i="59"/>
  <c r="R15" i="59"/>
  <c r="P38" i="59"/>
  <c r="Q38" i="59"/>
  <c r="P32" i="59"/>
  <c r="Q32" i="59"/>
  <c r="P28" i="59"/>
  <c r="Q28" i="59"/>
  <c r="P30" i="59"/>
  <c r="Q30" i="59"/>
  <c r="I57" i="59"/>
  <c r="O45" i="59"/>
  <c r="I51" i="59"/>
  <c r="O39" i="59"/>
  <c r="R24" i="59"/>
  <c r="Q35" i="59"/>
  <c r="P35" i="59"/>
  <c r="I56" i="59"/>
  <c r="O44" i="59"/>
  <c r="R23" i="59"/>
  <c r="R19" i="59"/>
  <c r="R22" i="59"/>
  <c r="P36" i="59"/>
  <c r="Q36" i="59"/>
  <c r="R18" i="59"/>
  <c r="I59" i="59"/>
  <c r="O47" i="59"/>
  <c r="Q31" i="59"/>
  <c r="P31" i="59"/>
  <c r="R20" i="59"/>
  <c r="I60" i="59"/>
  <c r="O48" i="59"/>
  <c r="Q29" i="59"/>
  <c r="P29" i="59"/>
  <c r="P37" i="59"/>
  <c r="Q37" i="59"/>
  <c r="Q34" i="59"/>
  <c r="P34" i="59"/>
  <c r="R16" i="59"/>
  <c r="R21" i="59"/>
  <c r="S168" i="59"/>
  <c r="I62" i="59"/>
  <c r="O50" i="59"/>
  <c r="I55" i="59"/>
  <c r="O43" i="59"/>
  <c r="R26" i="59"/>
  <c r="I52" i="59"/>
  <c r="O40" i="59"/>
  <c r="I54" i="59"/>
  <c r="O42" i="59"/>
  <c r="Q33" i="59"/>
  <c r="P33" i="59"/>
  <c r="I74" i="46"/>
  <c r="O74" i="46" s="1"/>
  <c r="R29" i="46"/>
  <c r="I73" i="46"/>
  <c r="O73" i="46" s="1"/>
  <c r="I67" i="46"/>
  <c r="O67" i="46" s="1"/>
  <c r="R37" i="46"/>
  <c r="P45" i="46"/>
  <c r="Q45" i="46"/>
  <c r="P42" i="46"/>
  <c r="Q42" i="46"/>
  <c r="Q41" i="46"/>
  <c r="P41" i="46"/>
  <c r="P48" i="46"/>
  <c r="Q48" i="46"/>
  <c r="Q39" i="46"/>
  <c r="Q170" i="46"/>
  <c r="P39" i="46"/>
  <c r="P47" i="46"/>
  <c r="Q47" i="46"/>
  <c r="R36" i="46"/>
  <c r="S169" i="46"/>
  <c r="I66" i="46"/>
  <c r="O66" i="46" s="1"/>
  <c r="I65" i="46"/>
  <c r="O65" i="46" s="1"/>
  <c r="R32" i="46"/>
  <c r="R34" i="46"/>
  <c r="I63" i="46"/>
  <c r="O63" i="46" s="1"/>
  <c r="I71" i="46"/>
  <c r="O71" i="46" s="1"/>
  <c r="R27" i="46"/>
  <c r="R35" i="46"/>
  <c r="R31" i="46"/>
  <c r="Q44" i="46"/>
  <c r="P44" i="46"/>
  <c r="R33" i="46"/>
  <c r="P46" i="46"/>
  <c r="Q46" i="46"/>
  <c r="R30" i="46"/>
  <c r="P50" i="46"/>
  <c r="Q50" i="46"/>
  <c r="Q40" i="46"/>
  <c r="P40" i="46"/>
  <c r="Q49" i="46"/>
  <c r="P49" i="46"/>
  <c r="R38" i="46"/>
  <c r="Q43" i="46"/>
  <c r="P43" i="46"/>
  <c r="R28" i="46"/>
  <c r="I78" i="45"/>
  <c r="O78" i="45" s="1"/>
  <c r="I79" i="45"/>
  <c r="O79" i="45" s="1"/>
  <c r="I83" i="45"/>
  <c r="O83" i="45" s="1"/>
  <c r="I86" i="45"/>
  <c r="O86" i="45" s="1"/>
  <c r="I76" i="45"/>
  <c r="O76" i="45" s="1"/>
  <c r="I85" i="45"/>
  <c r="O85" i="45" s="1"/>
  <c r="I82" i="45"/>
  <c r="O82" i="45" s="1"/>
  <c r="I84" i="45"/>
  <c r="O84" i="45" s="1"/>
  <c r="I80" i="45"/>
  <c r="O80" i="45" s="1"/>
  <c r="I77" i="45"/>
  <c r="O77" i="45" s="1"/>
  <c r="O39" i="11"/>
  <c r="U41" i="17"/>
  <c r="T32" i="17"/>
  <c r="T36" i="17" s="1"/>
  <c r="T73" i="17"/>
  <c r="T74" i="17" s="1"/>
  <c r="T75" i="17" s="1"/>
  <c r="T76" i="17" s="1"/>
  <c r="T77" i="17" s="1"/>
  <c r="T78" i="17" s="1"/>
  <c r="T79" i="17" s="1"/>
  <c r="T80" i="17" s="1"/>
  <c r="T81" i="17" s="1"/>
  <c r="T82" i="17" s="1"/>
  <c r="T83" i="17" s="1"/>
  <c r="F42" i="9"/>
  <c r="F18" i="9" s="1"/>
  <c r="F17" i="9"/>
  <c r="C13" i="18" s="1"/>
  <c r="I38" i="9"/>
  <c r="H38" i="9"/>
  <c r="R26" i="17"/>
  <c r="R61" i="17" s="1"/>
  <c r="L27" i="17"/>
  <c r="G53" i="11"/>
  <c r="O26" i="17"/>
  <c r="O27" i="17" s="1"/>
  <c r="M100" i="37"/>
  <c r="M87" i="37"/>
  <c r="M95" i="37"/>
  <c r="M89" i="37"/>
  <c r="I27" i="17"/>
  <c r="M96" i="37"/>
  <c r="M104" i="37"/>
  <c r="M93" i="37"/>
  <c r="M110" i="37"/>
  <c r="M106" i="37"/>
  <c r="M103" i="37"/>
  <c r="M109" i="37"/>
  <c r="N172" i="37"/>
  <c r="I53" i="11"/>
  <c r="F27" i="17"/>
  <c r="H26" i="17"/>
  <c r="E53" i="11"/>
  <c r="D7" i="11"/>
  <c r="D54" i="11"/>
  <c r="E54" i="11"/>
  <c r="E7" i="11"/>
  <c r="O177" i="22"/>
  <c r="K53" i="11"/>
  <c r="Q177" i="22"/>
  <c r="N99" i="22"/>
  <c r="Q175" i="22" s="1"/>
  <c r="O175" i="22"/>
  <c r="D63" i="11"/>
  <c r="D48" i="11"/>
  <c r="E48" i="11"/>
  <c r="E63" i="11"/>
  <c r="I48" i="11"/>
  <c r="I63" i="11"/>
  <c r="I64" i="11" s="1"/>
  <c r="M48" i="11"/>
  <c r="M63" i="11"/>
  <c r="M64" i="11" s="1"/>
  <c r="C63" i="11"/>
  <c r="C48" i="11"/>
  <c r="C59" i="11" s="1"/>
  <c r="L48" i="11"/>
  <c r="H63" i="11"/>
  <c r="H64" i="11" s="1"/>
  <c r="H48" i="11"/>
  <c r="G48" i="11"/>
  <c r="G63" i="11"/>
  <c r="G64" i="11" s="1"/>
  <c r="K63" i="11"/>
  <c r="K64" i="11" s="1"/>
  <c r="K48" i="11"/>
  <c r="F48" i="11"/>
  <c r="J48" i="11"/>
  <c r="J63" i="11"/>
  <c r="J64" i="11" s="1"/>
  <c r="P170" i="37"/>
  <c r="P61" i="37"/>
  <c r="P59" i="37"/>
  <c r="P52" i="37"/>
  <c r="O70" i="37"/>
  <c r="P70" i="37" s="1"/>
  <c r="N70" i="37"/>
  <c r="O72" i="37"/>
  <c r="O65" i="37"/>
  <c r="P65" i="37" s="1"/>
  <c r="N65" i="37"/>
  <c r="O68" i="37"/>
  <c r="P68" i="37" s="1"/>
  <c r="N68" i="37"/>
  <c r="O67" i="37"/>
  <c r="N67" i="37"/>
  <c r="O74" i="37"/>
  <c r="P74" i="37" s="1"/>
  <c r="N74" i="37"/>
  <c r="O66" i="37"/>
  <c r="P66" i="37" s="1"/>
  <c r="N66" i="37"/>
  <c r="O73" i="37"/>
  <c r="P73" i="37" s="1"/>
  <c r="N73" i="37"/>
  <c r="O64" i="37"/>
  <c r="P64" i="37" s="1"/>
  <c r="N64" i="37"/>
  <c r="O71" i="37"/>
  <c r="P71" i="37" s="1"/>
  <c r="N71" i="37"/>
  <c r="O69" i="37"/>
  <c r="P69" i="37" s="1"/>
  <c r="N69" i="37"/>
  <c r="B10" i="9"/>
  <c r="G49" i="11"/>
  <c r="O75" i="37"/>
  <c r="P75" i="37" s="1"/>
  <c r="O75" i="22"/>
  <c r="P75" i="22" s="1"/>
  <c r="I39" i="9" l="1"/>
  <c r="I75" i="45"/>
  <c r="O75" i="45" s="1"/>
  <c r="I68" i="46"/>
  <c r="O68" i="46" s="1"/>
  <c r="I81" i="45"/>
  <c r="O81" i="45" s="1"/>
  <c r="W64" i="17"/>
  <c r="L135" i="58"/>
  <c r="I64" i="46"/>
  <c r="O64" i="46" s="1"/>
  <c r="I72" i="46"/>
  <c r="O72" i="46" s="1"/>
  <c r="I69" i="46"/>
  <c r="O69" i="46" s="1"/>
  <c r="I70" i="46"/>
  <c r="O70" i="46" s="1"/>
  <c r="I64" i="59"/>
  <c r="O52" i="59"/>
  <c r="I67" i="59"/>
  <c r="O55" i="59"/>
  <c r="P48" i="59"/>
  <c r="Q48" i="59"/>
  <c r="R35" i="59"/>
  <c r="R38" i="59"/>
  <c r="I70" i="59"/>
  <c r="O58" i="59"/>
  <c r="Q49" i="59"/>
  <c r="P49" i="59"/>
  <c r="Q42" i="59"/>
  <c r="P42" i="59"/>
  <c r="Q50" i="59"/>
  <c r="P50" i="59"/>
  <c r="R34" i="59"/>
  <c r="I72" i="59"/>
  <c r="O60" i="59"/>
  <c r="Q47" i="59"/>
  <c r="P47" i="59"/>
  <c r="Q39" i="59"/>
  <c r="P39" i="59"/>
  <c r="Q170" i="59"/>
  <c r="Q45" i="59"/>
  <c r="P45" i="59"/>
  <c r="R28" i="59"/>
  <c r="P46" i="59"/>
  <c r="Q46" i="59"/>
  <c r="I73" i="59"/>
  <c r="O61" i="59"/>
  <c r="O54" i="59"/>
  <c r="I66" i="59"/>
  <c r="O62" i="59"/>
  <c r="I74" i="59"/>
  <c r="R29" i="59"/>
  <c r="R31" i="59"/>
  <c r="I71" i="59"/>
  <c r="O59" i="59"/>
  <c r="P44" i="59"/>
  <c r="Q44" i="59"/>
  <c r="I63" i="59"/>
  <c r="O51" i="59"/>
  <c r="I69" i="59"/>
  <c r="O57" i="59"/>
  <c r="R32" i="59"/>
  <c r="S169" i="59"/>
  <c r="Q41" i="59"/>
  <c r="P41" i="59"/>
  <c r="R33" i="59"/>
  <c r="P40" i="59"/>
  <c r="Q40" i="59"/>
  <c r="Q43" i="59"/>
  <c r="P43" i="59"/>
  <c r="R37" i="59"/>
  <c r="R36" i="59"/>
  <c r="I68" i="59"/>
  <c r="O56" i="59"/>
  <c r="R30" i="59"/>
  <c r="R27" i="59"/>
  <c r="I65" i="59"/>
  <c r="O53" i="59"/>
  <c r="R40" i="46"/>
  <c r="I83" i="46"/>
  <c r="O83" i="46" s="1"/>
  <c r="I78" i="46"/>
  <c r="O78" i="46" s="1"/>
  <c r="R48" i="46"/>
  <c r="R42" i="46"/>
  <c r="P61" i="46"/>
  <c r="Q61" i="46"/>
  <c r="P58" i="46"/>
  <c r="Q58" i="46"/>
  <c r="R50" i="46"/>
  <c r="Q51" i="46"/>
  <c r="P51" i="46"/>
  <c r="Q171" i="46"/>
  <c r="Q60" i="46"/>
  <c r="P60" i="46"/>
  <c r="P53" i="46"/>
  <c r="Q53" i="46"/>
  <c r="P57" i="46"/>
  <c r="Q57" i="46"/>
  <c r="S170" i="46"/>
  <c r="I85" i="46"/>
  <c r="O85" i="46" s="1"/>
  <c r="R43" i="46"/>
  <c r="R49" i="46"/>
  <c r="R46" i="46"/>
  <c r="I75" i="46"/>
  <c r="O75" i="46" s="1"/>
  <c r="I77" i="46"/>
  <c r="O77" i="46" s="1"/>
  <c r="R45" i="46"/>
  <c r="P55" i="46"/>
  <c r="Q55" i="46"/>
  <c r="P52" i="46"/>
  <c r="Q52" i="46"/>
  <c r="P62" i="46"/>
  <c r="Q62" i="46"/>
  <c r="P56" i="46"/>
  <c r="Q56" i="46"/>
  <c r="R44" i="46"/>
  <c r="Q59" i="46"/>
  <c r="P59" i="46"/>
  <c r="Q54" i="46"/>
  <c r="P54" i="46"/>
  <c r="R47" i="46"/>
  <c r="R39" i="46"/>
  <c r="R41" i="46"/>
  <c r="I79" i="46"/>
  <c r="O79" i="46" s="1"/>
  <c r="I86" i="46"/>
  <c r="O86" i="46" s="1"/>
  <c r="I65" i="45"/>
  <c r="O65" i="45" s="1"/>
  <c r="I72" i="45"/>
  <c r="O72" i="45" s="1"/>
  <c r="I64" i="45"/>
  <c r="O64" i="45" s="1"/>
  <c r="I67" i="45"/>
  <c r="O67" i="45" s="1"/>
  <c r="I68" i="45"/>
  <c r="O68" i="45" s="1"/>
  <c r="I70" i="45"/>
  <c r="O70" i="45" s="1"/>
  <c r="I73" i="45"/>
  <c r="O73" i="45" s="1"/>
  <c r="I74" i="45"/>
  <c r="O74" i="45" s="1"/>
  <c r="I71" i="45"/>
  <c r="O71" i="45" s="1"/>
  <c r="I66" i="45"/>
  <c r="O66" i="45" s="1"/>
  <c r="T33" i="17"/>
  <c r="T37" i="17" s="1"/>
  <c r="F22" i="9"/>
  <c r="L135" i="45"/>
  <c r="J135" i="37"/>
  <c r="H39" i="9"/>
  <c r="F38" i="9"/>
  <c r="I18" i="9"/>
  <c r="I23" i="9" s="1"/>
  <c r="I17" i="9"/>
  <c r="I22" i="9" s="1"/>
  <c r="H44" i="17"/>
  <c r="M53" i="11"/>
  <c r="R27" i="17"/>
  <c r="Q26" i="17"/>
  <c r="L53" i="11"/>
  <c r="E26" i="17"/>
  <c r="J53" i="11"/>
  <c r="M101" i="37"/>
  <c r="H53" i="11"/>
  <c r="I138" i="37"/>
  <c r="I150" i="37" s="1"/>
  <c r="M114" i="37"/>
  <c r="M108" i="37"/>
  <c r="N173" i="37"/>
  <c r="M107" i="37"/>
  <c r="M126" i="37"/>
  <c r="M99" i="37"/>
  <c r="K138" i="45"/>
  <c r="K150" i="45" s="1"/>
  <c r="M105" i="37"/>
  <c r="P87" i="45"/>
  <c r="Q87" i="45"/>
  <c r="H27" i="17"/>
  <c r="N26" i="17"/>
  <c r="K26" i="17"/>
  <c r="M135" i="22"/>
  <c r="N135" i="22" s="1"/>
  <c r="D60" i="11"/>
  <c r="E60" i="11"/>
  <c r="G54" i="11"/>
  <c r="G7" i="11"/>
  <c r="I59" i="11"/>
  <c r="G59" i="11"/>
  <c r="E59" i="11"/>
  <c r="F59" i="11"/>
  <c r="K59" i="11"/>
  <c r="D59" i="11"/>
  <c r="M16" i="11"/>
  <c r="D37" i="9"/>
  <c r="O93" i="22"/>
  <c r="P93" i="22" s="1"/>
  <c r="O91" i="22"/>
  <c r="P91" i="22" s="1"/>
  <c r="O92" i="22"/>
  <c r="O90" i="22"/>
  <c r="P90" i="22" s="1"/>
  <c r="O95" i="22"/>
  <c r="P95" i="22" s="1"/>
  <c r="O97" i="22"/>
  <c r="P97" i="22" s="1"/>
  <c r="O96" i="22"/>
  <c r="P96" i="22" s="1"/>
  <c r="O98" i="22"/>
  <c r="P98" i="22" s="1"/>
  <c r="O88" i="22"/>
  <c r="P88" i="22" s="1"/>
  <c r="O94" i="22"/>
  <c r="P94" i="22" s="1"/>
  <c r="O89" i="22"/>
  <c r="P89" i="22" s="1"/>
  <c r="P171" i="37"/>
  <c r="P67" i="37"/>
  <c r="P72" i="37"/>
  <c r="O78" i="37"/>
  <c r="P78" i="37" s="1"/>
  <c r="N78" i="37"/>
  <c r="O79" i="37"/>
  <c r="N79" i="37"/>
  <c r="O76" i="37"/>
  <c r="P76" i="37" s="1"/>
  <c r="N76" i="37"/>
  <c r="O86" i="37"/>
  <c r="P86" i="37" s="1"/>
  <c r="N86" i="37"/>
  <c r="O77" i="37"/>
  <c r="N77" i="37"/>
  <c r="O85" i="37"/>
  <c r="P85" i="37" s="1"/>
  <c r="N85" i="37"/>
  <c r="O82" i="37"/>
  <c r="N82" i="37"/>
  <c r="O84" i="37"/>
  <c r="N84" i="37"/>
  <c r="O83" i="37"/>
  <c r="P83" i="37" s="1"/>
  <c r="N83" i="37"/>
  <c r="O80" i="37"/>
  <c r="N80" i="37"/>
  <c r="O81" i="37"/>
  <c r="N81" i="37"/>
  <c r="H49" i="11"/>
  <c r="B11" i="9"/>
  <c r="O87" i="22"/>
  <c r="P87" i="22" s="1"/>
  <c r="AB26" i="17" l="1"/>
  <c r="I63" i="45"/>
  <c r="O63" i="45" s="1"/>
  <c r="I69" i="45"/>
  <c r="O69" i="45" s="1"/>
  <c r="P69" i="45" s="1"/>
  <c r="I80" i="46"/>
  <c r="O80" i="46" s="1"/>
  <c r="W65" i="17"/>
  <c r="I81" i="46"/>
  <c r="O81" i="46" s="1"/>
  <c r="I84" i="46"/>
  <c r="O84" i="46" s="1"/>
  <c r="I76" i="46"/>
  <c r="O76" i="46" s="1"/>
  <c r="I82" i="46"/>
  <c r="O82" i="46" s="1"/>
  <c r="P56" i="59"/>
  <c r="Q56" i="59"/>
  <c r="Q57" i="59"/>
  <c r="P57" i="59"/>
  <c r="Q51" i="59"/>
  <c r="P51" i="59"/>
  <c r="Q171" i="59"/>
  <c r="Q59" i="59"/>
  <c r="P59" i="59"/>
  <c r="P54" i="59"/>
  <c r="Q54" i="59"/>
  <c r="R39" i="59"/>
  <c r="Q58" i="59"/>
  <c r="P58" i="59"/>
  <c r="I79" i="59"/>
  <c r="O67" i="59"/>
  <c r="Q53" i="59"/>
  <c r="P53" i="59"/>
  <c r="I80" i="59"/>
  <c r="O68" i="59"/>
  <c r="I81" i="59"/>
  <c r="O69" i="59"/>
  <c r="I75" i="59"/>
  <c r="O63" i="59"/>
  <c r="I83" i="59"/>
  <c r="O71" i="59"/>
  <c r="P61" i="59"/>
  <c r="Q61" i="59"/>
  <c r="R45" i="59"/>
  <c r="R42" i="59"/>
  <c r="O70" i="59"/>
  <c r="I82" i="59"/>
  <c r="R48" i="59"/>
  <c r="P52" i="59"/>
  <c r="Q52" i="59"/>
  <c r="R40" i="59"/>
  <c r="R44" i="59"/>
  <c r="I86" i="59"/>
  <c r="O74" i="59"/>
  <c r="I85" i="59"/>
  <c r="O73" i="59"/>
  <c r="P60" i="59"/>
  <c r="Q60" i="59"/>
  <c r="I76" i="59"/>
  <c r="O64" i="59"/>
  <c r="I77" i="59"/>
  <c r="O65" i="59"/>
  <c r="R43" i="59"/>
  <c r="R41" i="59"/>
  <c r="P62" i="59"/>
  <c r="Q62" i="59"/>
  <c r="I78" i="59"/>
  <c r="O66" i="59"/>
  <c r="R46" i="59"/>
  <c r="S170" i="59"/>
  <c r="R47" i="59"/>
  <c r="I84" i="59"/>
  <c r="O72" i="59"/>
  <c r="R50" i="59"/>
  <c r="R49" i="59"/>
  <c r="Q55" i="59"/>
  <c r="P55" i="59"/>
  <c r="P92" i="22"/>
  <c r="P68" i="46"/>
  <c r="Q68" i="46"/>
  <c r="P64" i="46"/>
  <c r="Q64" i="46"/>
  <c r="I97" i="46"/>
  <c r="O97" i="46" s="1"/>
  <c r="R53" i="46"/>
  <c r="R61" i="46"/>
  <c r="P71" i="46"/>
  <c r="Q71" i="46"/>
  <c r="R59" i="46"/>
  <c r="R56" i="46"/>
  <c r="R52" i="46"/>
  <c r="P65" i="46"/>
  <c r="Q65" i="46"/>
  <c r="Q172" i="46"/>
  <c r="Q63" i="46"/>
  <c r="P63" i="46"/>
  <c r="P70" i="46"/>
  <c r="Q70" i="46"/>
  <c r="S171" i="46"/>
  <c r="I95" i="46"/>
  <c r="O95" i="46" s="1"/>
  <c r="P74" i="46"/>
  <c r="Q74" i="46"/>
  <c r="P67" i="46"/>
  <c r="Q67" i="46"/>
  <c r="I89" i="46"/>
  <c r="O89" i="46" s="1"/>
  <c r="I87" i="46"/>
  <c r="O87" i="46" s="1"/>
  <c r="R57" i="46"/>
  <c r="R51" i="46"/>
  <c r="R58" i="46"/>
  <c r="P66" i="46"/>
  <c r="Q66" i="46"/>
  <c r="I98" i="46"/>
  <c r="O98" i="46" s="1"/>
  <c r="I91" i="46"/>
  <c r="O91" i="46" s="1"/>
  <c r="R54" i="46"/>
  <c r="R62" i="46"/>
  <c r="R55" i="46"/>
  <c r="P69" i="46"/>
  <c r="Q69" i="46"/>
  <c r="Q72" i="46"/>
  <c r="P72" i="46"/>
  <c r="P73" i="46"/>
  <c r="Q73" i="46"/>
  <c r="R60" i="46"/>
  <c r="I90" i="46"/>
  <c r="O90" i="46" s="1"/>
  <c r="I54" i="45"/>
  <c r="O54" i="45" s="1"/>
  <c r="I62" i="45"/>
  <c r="O62" i="45" s="1"/>
  <c r="I58" i="45"/>
  <c r="O58" i="45" s="1"/>
  <c r="I55" i="45"/>
  <c r="O55" i="45" s="1"/>
  <c r="I52" i="45"/>
  <c r="O52" i="45" s="1"/>
  <c r="I60" i="45"/>
  <c r="O60" i="45" s="1"/>
  <c r="P75" i="45"/>
  <c r="Q75" i="45"/>
  <c r="I59" i="45"/>
  <c r="O59" i="45" s="1"/>
  <c r="I61" i="45"/>
  <c r="O61" i="45" s="1"/>
  <c r="I56" i="45"/>
  <c r="O56" i="45" s="1"/>
  <c r="I53" i="45"/>
  <c r="O53" i="45" s="1"/>
  <c r="Q74" i="45"/>
  <c r="P74" i="45"/>
  <c r="Q70" i="45"/>
  <c r="P70" i="45"/>
  <c r="Q68" i="45"/>
  <c r="P68" i="45"/>
  <c r="F17" i="18"/>
  <c r="N40" i="11"/>
  <c r="N25" i="11"/>
  <c r="C17" i="18"/>
  <c r="Z26" i="17"/>
  <c r="M59" i="11"/>
  <c r="F18" i="18"/>
  <c r="O40" i="11"/>
  <c r="F13" i="18"/>
  <c r="F14" i="18"/>
  <c r="L59" i="11"/>
  <c r="H45" i="17"/>
  <c r="E27" i="17"/>
  <c r="E44" i="17"/>
  <c r="K44" i="17"/>
  <c r="E61" i="17"/>
  <c r="N44" i="17"/>
  <c r="N40" i="17"/>
  <c r="G41" i="9" s="1"/>
  <c r="G17" i="9" s="1"/>
  <c r="D13" i="18" s="1"/>
  <c r="Q44" i="17"/>
  <c r="Q61" i="17"/>
  <c r="R62" i="17"/>
  <c r="R63" i="17" s="1"/>
  <c r="R64" i="17" s="1"/>
  <c r="R65" i="17" s="1"/>
  <c r="R66" i="17" s="1"/>
  <c r="R67" i="17" s="1"/>
  <c r="R68" i="17" s="1"/>
  <c r="R69" i="17" s="1"/>
  <c r="R70" i="17" s="1"/>
  <c r="R71" i="17" s="1"/>
  <c r="R73" i="17" s="1"/>
  <c r="R74" i="17" s="1"/>
  <c r="R75" i="17" s="1"/>
  <c r="R76" i="17" s="1"/>
  <c r="R77" i="17" s="1"/>
  <c r="R78" i="17" s="1"/>
  <c r="R79" i="17" s="1"/>
  <c r="R80" i="17" s="1"/>
  <c r="R81" i="17" s="1"/>
  <c r="R82" i="17" s="1"/>
  <c r="R83" i="17" s="1"/>
  <c r="Q27" i="17"/>
  <c r="Q45" i="17" s="1"/>
  <c r="J59" i="11"/>
  <c r="H59" i="11"/>
  <c r="H61" i="17"/>
  <c r="H62" i="17" s="1"/>
  <c r="H63" i="17" s="1"/>
  <c r="H64" i="17" s="1"/>
  <c r="H65" i="17" s="1"/>
  <c r="H66" i="17" s="1"/>
  <c r="H67" i="17" s="1"/>
  <c r="H68" i="17" s="1"/>
  <c r="H69" i="17" s="1"/>
  <c r="H70" i="17" s="1"/>
  <c r="H71" i="17" s="1"/>
  <c r="H72" i="17" s="1"/>
  <c r="H73" i="17" s="1"/>
  <c r="H74" i="17" s="1"/>
  <c r="H75" i="17" s="1"/>
  <c r="H76" i="17" s="1"/>
  <c r="H77" i="17" s="1"/>
  <c r="H78" i="17" s="1"/>
  <c r="H79" i="17" s="1"/>
  <c r="H80" i="17" s="1"/>
  <c r="H81" i="17" s="1"/>
  <c r="H82" i="17" s="1"/>
  <c r="H83" i="17" s="1"/>
  <c r="P99" i="45"/>
  <c r="Q99" i="45"/>
  <c r="M133" i="37"/>
  <c r="I142" i="37"/>
  <c r="I154" i="37" s="1"/>
  <c r="M118" i="37"/>
  <c r="I139" i="37"/>
  <c r="I151" i="37" s="1"/>
  <c r="M115" i="37"/>
  <c r="I136" i="37"/>
  <c r="I148" i="37" s="1"/>
  <c r="M112" i="37"/>
  <c r="M130" i="37"/>
  <c r="R87" i="45"/>
  <c r="M134" i="37"/>
  <c r="I145" i="37"/>
  <c r="I157" i="37" s="1"/>
  <c r="M121" i="37"/>
  <c r="K142" i="45"/>
  <c r="K154" i="45" s="1"/>
  <c r="K139" i="45"/>
  <c r="K151" i="45" s="1"/>
  <c r="K136" i="45"/>
  <c r="K148" i="45" s="1"/>
  <c r="M124" i="37"/>
  <c r="M127" i="37"/>
  <c r="I146" i="37"/>
  <c r="I158" i="37" s="1"/>
  <c r="M122" i="37"/>
  <c r="K145" i="45"/>
  <c r="K157" i="45" s="1"/>
  <c r="I140" i="37"/>
  <c r="I152" i="37" s="1"/>
  <c r="M116" i="37"/>
  <c r="M128" i="37"/>
  <c r="N27" i="17"/>
  <c r="K146" i="45"/>
  <c r="K158" i="45" s="1"/>
  <c r="N174" i="37"/>
  <c r="K140" i="45"/>
  <c r="K152" i="45" s="1"/>
  <c r="K27" i="17"/>
  <c r="H7" i="11"/>
  <c r="H54" i="11"/>
  <c r="G60" i="11"/>
  <c r="O106" i="22"/>
  <c r="P106" i="22" s="1"/>
  <c r="O104" i="22"/>
  <c r="P104" i="22" s="1"/>
  <c r="O102" i="22"/>
  <c r="P102" i="22" s="1"/>
  <c r="O108" i="22"/>
  <c r="P108" i="22" s="1"/>
  <c r="O110" i="22"/>
  <c r="P110" i="22" s="1"/>
  <c r="O103" i="22"/>
  <c r="P103" i="22" s="1"/>
  <c r="O105" i="22"/>
  <c r="P105" i="22" s="1"/>
  <c r="O101" i="22"/>
  <c r="P101" i="22" s="1"/>
  <c r="O100" i="22"/>
  <c r="O109" i="22"/>
  <c r="P109" i="22" s="1"/>
  <c r="O107" i="22"/>
  <c r="P107" i="22" s="1"/>
  <c r="P172" i="37"/>
  <c r="P81" i="37"/>
  <c r="P82" i="37"/>
  <c r="P77" i="37"/>
  <c r="P80" i="37"/>
  <c r="P84" i="37"/>
  <c r="P79" i="37"/>
  <c r="O89" i="37"/>
  <c r="N89" i="37"/>
  <c r="O95" i="37"/>
  <c r="P95" i="37" s="1"/>
  <c r="N95" i="37"/>
  <c r="O93" i="37"/>
  <c r="P93" i="37" s="1"/>
  <c r="N93" i="37"/>
  <c r="O97" i="37"/>
  <c r="P97" i="37" s="1"/>
  <c r="N97" i="37"/>
  <c r="O90" i="37"/>
  <c r="P90" i="37" s="1"/>
  <c r="N90" i="37"/>
  <c r="O94" i="37"/>
  <c r="P94" i="37" s="1"/>
  <c r="N94" i="37"/>
  <c r="O91" i="37"/>
  <c r="N91" i="37"/>
  <c r="O92" i="37"/>
  <c r="N92" i="37"/>
  <c r="O88" i="37"/>
  <c r="P88" i="37" s="1"/>
  <c r="N88" i="37"/>
  <c r="O98" i="37"/>
  <c r="P98" i="37" s="1"/>
  <c r="N98" i="37"/>
  <c r="O96" i="37"/>
  <c r="N96" i="37"/>
  <c r="O87" i="37"/>
  <c r="P87" i="37" s="1"/>
  <c r="N87" i="37"/>
  <c r="N99" i="37"/>
  <c r="I49" i="11"/>
  <c r="B12" i="9"/>
  <c r="O112" i="22"/>
  <c r="P112" i="22" s="1"/>
  <c r="O121" i="22"/>
  <c r="P121" i="22" s="1"/>
  <c r="O113" i="22"/>
  <c r="P113" i="22" s="1"/>
  <c r="O120" i="22"/>
  <c r="P120" i="22" s="1"/>
  <c r="O99" i="22"/>
  <c r="P99" i="22" s="1"/>
  <c r="O122" i="22"/>
  <c r="P122" i="22" s="1"/>
  <c r="O114" i="22"/>
  <c r="P114" i="22" s="1"/>
  <c r="O117" i="22"/>
  <c r="P117" i="22" s="1"/>
  <c r="O119" i="22"/>
  <c r="P119" i="22" s="1"/>
  <c r="O115" i="22"/>
  <c r="P115" i="22" s="1"/>
  <c r="O118" i="22"/>
  <c r="P118" i="22" s="1"/>
  <c r="O116" i="22"/>
  <c r="P116" i="22" s="1"/>
  <c r="AB27" i="17" l="1"/>
  <c r="I51" i="45"/>
  <c r="O51" i="45" s="1"/>
  <c r="Q69" i="45"/>
  <c r="I57" i="45"/>
  <c r="O57" i="45" s="1"/>
  <c r="L136" i="59"/>
  <c r="O41" i="11"/>
  <c r="N41" i="11"/>
  <c r="N26" i="11"/>
  <c r="I92" i="46"/>
  <c r="O92" i="46" s="1"/>
  <c r="W66" i="17"/>
  <c r="I96" i="46"/>
  <c r="O96" i="46" s="1"/>
  <c r="L136" i="58"/>
  <c r="I93" i="46"/>
  <c r="O93" i="46" s="1"/>
  <c r="I88" i="46"/>
  <c r="O88" i="46" s="1"/>
  <c r="I94" i="46"/>
  <c r="O94" i="46" s="1"/>
  <c r="P72" i="59"/>
  <c r="Q72" i="59"/>
  <c r="I89" i="59"/>
  <c r="O77" i="59"/>
  <c r="Q73" i="59"/>
  <c r="P73" i="59"/>
  <c r="R61" i="59"/>
  <c r="Q63" i="59"/>
  <c r="P63" i="59"/>
  <c r="Q172" i="59"/>
  <c r="P68" i="59"/>
  <c r="Q68" i="59"/>
  <c r="R59" i="59"/>
  <c r="R57" i="59"/>
  <c r="R55" i="59"/>
  <c r="O84" i="59"/>
  <c r="I96" i="59"/>
  <c r="Q66" i="59"/>
  <c r="P66" i="59"/>
  <c r="P64" i="59"/>
  <c r="Q64" i="59"/>
  <c r="I97" i="59"/>
  <c r="O85" i="59"/>
  <c r="I87" i="59"/>
  <c r="O75" i="59"/>
  <c r="I92" i="59"/>
  <c r="O80" i="59"/>
  <c r="Q67" i="59"/>
  <c r="P67" i="59"/>
  <c r="S171" i="59"/>
  <c r="I90" i="59"/>
  <c r="O78" i="59"/>
  <c r="I88" i="59"/>
  <c r="O76" i="59"/>
  <c r="R60" i="59"/>
  <c r="Q74" i="59"/>
  <c r="P74" i="59"/>
  <c r="R52" i="59"/>
  <c r="I94" i="59"/>
  <c r="O82" i="59"/>
  <c r="Q71" i="59"/>
  <c r="P71" i="59"/>
  <c r="Q69" i="59"/>
  <c r="P69" i="59"/>
  <c r="I91" i="59"/>
  <c r="O79" i="59"/>
  <c r="R58" i="59"/>
  <c r="R54" i="59"/>
  <c r="R51" i="59"/>
  <c r="R62" i="59"/>
  <c r="Q65" i="59"/>
  <c r="P65" i="59"/>
  <c r="I98" i="59"/>
  <c r="O86" i="59"/>
  <c r="P70" i="59"/>
  <c r="Q70" i="59"/>
  <c r="O83" i="59"/>
  <c r="I95" i="59"/>
  <c r="I93" i="59"/>
  <c r="O81" i="59"/>
  <c r="R53" i="59"/>
  <c r="R56" i="59"/>
  <c r="R72" i="46"/>
  <c r="I110" i="46"/>
  <c r="O110" i="46" s="1"/>
  <c r="I99" i="46"/>
  <c r="O99" i="46" s="1"/>
  <c r="R67" i="46"/>
  <c r="P83" i="46"/>
  <c r="Q83" i="46"/>
  <c r="R65" i="46"/>
  <c r="P76" i="46"/>
  <c r="Q76" i="46"/>
  <c r="R71" i="46"/>
  <c r="Q84" i="46"/>
  <c r="P84" i="46"/>
  <c r="R64" i="46"/>
  <c r="Q78" i="46"/>
  <c r="P78" i="46"/>
  <c r="R73" i="46"/>
  <c r="R69" i="46"/>
  <c r="P79" i="46"/>
  <c r="Q79" i="46"/>
  <c r="R66" i="46"/>
  <c r="P82" i="46"/>
  <c r="Q82" i="46"/>
  <c r="P77" i="46"/>
  <c r="Q77" i="46"/>
  <c r="I107" i="46"/>
  <c r="O107" i="46" s="1"/>
  <c r="S172" i="46"/>
  <c r="I102" i="46"/>
  <c r="O102" i="46" s="1"/>
  <c r="I103" i="46"/>
  <c r="O103" i="46" s="1"/>
  <c r="I101" i="46"/>
  <c r="O101" i="46" s="1"/>
  <c r="R74" i="46"/>
  <c r="R63" i="46"/>
  <c r="P80" i="46"/>
  <c r="Q80" i="46"/>
  <c r="P85" i="46"/>
  <c r="Q85" i="46"/>
  <c r="Q81" i="46"/>
  <c r="P81" i="46"/>
  <c r="R68" i="46"/>
  <c r="P86" i="46"/>
  <c r="Q86" i="46"/>
  <c r="P75" i="46"/>
  <c r="Q173" i="46"/>
  <c r="Q75" i="46"/>
  <c r="R70" i="46"/>
  <c r="I109" i="46"/>
  <c r="O109" i="46" s="1"/>
  <c r="I44" i="45"/>
  <c r="O44" i="45" s="1"/>
  <c r="I47" i="45"/>
  <c r="O47" i="45" s="1"/>
  <c r="I48" i="45"/>
  <c r="O48" i="45" s="1"/>
  <c r="I43" i="45"/>
  <c r="O43" i="45" s="1"/>
  <c r="I50" i="45"/>
  <c r="O50" i="45" s="1"/>
  <c r="P63" i="45"/>
  <c r="Q63" i="45"/>
  <c r="R75" i="45"/>
  <c r="I41" i="45"/>
  <c r="O41" i="45" s="1"/>
  <c r="I49" i="45"/>
  <c r="O49" i="45" s="1"/>
  <c r="I40" i="45"/>
  <c r="O40" i="45" s="1"/>
  <c r="I46" i="45"/>
  <c r="O46" i="45" s="1"/>
  <c r="I42" i="45"/>
  <c r="O42" i="45" s="1"/>
  <c r="P65" i="45"/>
  <c r="Q65" i="45"/>
  <c r="P66" i="45"/>
  <c r="Q66" i="45"/>
  <c r="P82" i="45"/>
  <c r="Q82" i="45"/>
  <c r="P67" i="45"/>
  <c r="Q67" i="45"/>
  <c r="R74" i="45"/>
  <c r="P71" i="45"/>
  <c r="Q71" i="45"/>
  <c r="Q73" i="45"/>
  <c r="P73" i="45"/>
  <c r="P64" i="45"/>
  <c r="Q64" i="45"/>
  <c r="P171" i="45"/>
  <c r="Q80" i="45"/>
  <c r="P80" i="45"/>
  <c r="Q86" i="45"/>
  <c r="P86" i="45"/>
  <c r="Q81" i="45"/>
  <c r="P81" i="45"/>
  <c r="R70" i="45"/>
  <c r="R68" i="45"/>
  <c r="P72" i="45"/>
  <c r="Q72" i="45"/>
  <c r="N29" i="11"/>
  <c r="J136" i="22"/>
  <c r="M136" i="22" s="1"/>
  <c r="L136" i="46"/>
  <c r="O136" i="46" s="1"/>
  <c r="L136" i="45"/>
  <c r="O136" i="45" s="1"/>
  <c r="J136" i="37"/>
  <c r="M136" i="37" s="1"/>
  <c r="O136" i="37" s="1"/>
  <c r="Z27" i="17"/>
  <c r="K45" i="17"/>
  <c r="N45" i="17"/>
  <c r="N41" i="17"/>
  <c r="E45" i="17"/>
  <c r="K36" i="17"/>
  <c r="L40" i="17"/>
  <c r="N36" i="17"/>
  <c r="O40" i="17"/>
  <c r="E62" i="17"/>
  <c r="Q62" i="17"/>
  <c r="Q63" i="17" s="1"/>
  <c r="Q64" i="17" s="1"/>
  <c r="Q65" i="17" s="1"/>
  <c r="Q66" i="17" s="1"/>
  <c r="Q67" i="17" s="1"/>
  <c r="Q68" i="17" s="1"/>
  <c r="Q69" i="17" s="1"/>
  <c r="Q70" i="17" s="1"/>
  <c r="Q71" i="17" s="1"/>
  <c r="Q72" i="17" s="1"/>
  <c r="M123" i="37"/>
  <c r="K143" i="45"/>
  <c r="M125" i="37"/>
  <c r="K141" i="45"/>
  <c r="I135" i="37"/>
  <c r="M111" i="37"/>
  <c r="O111" i="37" s="1"/>
  <c r="P111" i="37" s="1"/>
  <c r="M132" i="37"/>
  <c r="O133" i="37"/>
  <c r="N133" i="37"/>
  <c r="K135" i="45"/>
  <c r="O135" i="45" s="1"/>
  <c r="M131" i="37"/>
  <c r="I137" i="37"/>
  <c r="M113" i="37"/>
  <c r="M129" i="37"/>
  <c r="I144" i="37"/>
  <c r="M120" i="37"/>
  <c r="N128" i="37"/>
  <c r="O128" i="37"/>
  <c r="I143" i="37"/>
  <c r="M119" i="37"/>
  <c r="K137" i="45"/>
  <c r="N134" i="37"/>
  <c r="O134" i="37"/>
  <c r="I141" i="37"/>
  <c r="M117" i="37"/>
  <c r="O130" i="37"/>
  <c r="N130" i="37"/>
  <c r="K144" i="45"/>
  <c r="R99" i="45"/>
  <c r="I7" i="11"/>
  <c r="I54" i="11"/>
  <c r="H60" i="11"/>
  <c r="C37" i="9"/>
  <c r="M12" i="11"/>
  <c r="P100" i="22"/>
  <c r="P173" i="37"/>
  <c r="P96" i="37"/>
  <c r="P91" i="37"/>
  <c r="P89" i="37"/>
  <c r="P92" i="37"/>
  <c r="O101" i="37"/>
  <c r="N101" i="37"/>
  <c r="O103" i="37"/>
  <c r="N103" i="37"/>
  <c r="O109" i="37"/>
  <c r="N109" i="37"/>
  <c r="O106" i="37"/>
  <c r="N106" i="37"/>
  <c r="O104" i="37"/>
  <c r="P104" i="37" s="1"/>
  <c r="N104" i="37"/>
  <c r="O100" i="37"/>
  <c r="P100" i="37" s="1"/>
  <c r="N100" i="37"/>
  <c r="O105" i="37"/>
  <c r="P105" i="37" s="1"/>
  <c r="N105" i="37"/>
  <c r="O107" i="37"/>
  <c r="N107" i="37"/>
  <c r="O102" i="37"/>
  <c r="N102" i="37"/>
  <c r="O108" i="37"/>
  <c r="P108" i="37" s="1"/>
  <c r="N108" i="37"/>
  <c r="O110" i="37"/>
  <c r="N110" i="37"/>
  <c r="O99" i="37"/>
  <c r="P99" i="37" s="1"/>
  <c r="B13" i="9"/>
  <c r="J49" i="11"/>
  <c r="O111" i="22"/>
  <c r="P111" i="22" s="1"/>
  <c r="O124" i="22"/>
  <c r="P124" i="22" s="1"/>
  <c r="N123" i="37"/>
  <c r="O125" i="22"/>
  <c r="P125" i="22" s="1"/>
  <c r="O127" i="22"/>
  <c r="P127" i="22" s="1"/>
  <c r="I39" i="45" l="1"/>
  <c r="O39" i="45" s="1"/>
  <c r="R69" i="45"/>
  <c r="I45" i="45"/>
  <c r="O45" i="45" s="1"/>
  <c r="L137" i="59"/>
  <c r="I104" i="46"/>
  <c r="O104" i="46" s="1"/>
  <c r="I108" i="46"/>
  <c r="O108" i="46" s="1"/>
  <c r="W67" i="17"/>
  <c r="L137" i="58"/>
  <c r="I105" i="46"/>
  <c r="O105" i="46" s="1"/>
  <c r="I100" i="46"/>
  <c r="O100" i="46" s="1"/>
  <c r="I106" i="46"/>
  <c r="O106" i="46" s="1"/>
  <c r="Q83" i="59"/>
  <c r="P83" i="59"/>
  <c r="I106" i="59"/>
  <c r="O94" i="59"/>
  <c r="I100" i="59"/>
  <c r="O88" i="59"/>
  <c r="R67" i="59"/>
  <c r="O87" i="59"/>
  <c r="I99" i="59"/>
  <c r="I109" i="59"/>
  <c r="O97" i="59"/>
  <c r="R68" i="59"/>
  <c r="P77" i="59"/>
  <c r="Q77" i="59"/>
  <c r="R72" i="59"/>
  <c r="P81" i="59"/>
  <c r="Q81" i="59"/>
  <c r="Q86" i="59"/>
  <c r="P86" i="59"/>
  <c r="R69" i="59"/>
  <c r="Q78" i="59"/>
  <c r="P78" i="59"/>
  <c r="Q80" i="59"/>
  <c r="P80" i="59"/>
  <c r="R64" i="59"/>
  <c r="I108" i="59"/>
  <c r="O96" i="59"/>
  <c r="S172" i="59"/>
  <c r="O89" i="59"/>
  <c r="I101" i="59"/>
  <c r="I105" i="59"/>
  <c r="O93" i="59"/>
  <c r="I110" i="59"/>
  <c r="O98" i="59"/>
  <c r="R65" i="59"/>
  <c r="Q79" i="59"/>
  <c r="P79" i="59"/>
  <c r="R74" i="59"/>
  <c r="I102" i="59"/>
  <c r="O90" i="59"/>
  <c r="I104" i="59"/>
  <c r="O92" i="59"/>
  <c r="R66" i="59"/>
  <c r="P84" i="59"/>
  <c r="Q84" i="59"/>
  <c r="R63" i="59"/>
  <c r="R73" i="59"/>
  <c r="O95" i="59"/>
  <c r="I107" i="59"/>
  <c r="R70" i="59"/>
  <c r="I103" i="59"/>
  <c r="O91" i="59"/>
  <c r="R71" i="59"/>
  <c r="P82" i="59"/>
  <c r="Q82" i="59"/>
  <c r="Q76" i="59"/>
  <c r="P76" i="59"/>
  <c r="Q75" i="59"/>
  <c r="P75" i="59"/>
  <c r="Q173" i="59"/>
  <c r="P85" i="59"/>
  <c r="Q85" i="59"/>
  <c r="P93" i="46"/>
  <c r="Q93" i="46"/>
  <c r="P92" i="46"/>
  <c r="Q92" i="46"/>
  <c r="R75" i="46"/>
  <c r="R81" i="46"/>
  <c r="P94" i="46"/>
  <c r="Q94" i="46"/>
  <c r="I115" i="46"/>
  <c r="O115" i="46" s="1"/>
  <c r="Q95" i="46"/>
  <c r="P95" i="46"/>
  <c r="R82" i="46"/>
  <c r="R79" i="46"/>
  <c r="P98" i="46"/>
  <c r="Q98" i="46"/>
  <c r="R85" i="46"/>
  <c r="P90" i="46"/>
  <c r="Q90" i="46"/>
  <c r="P88" i="46"/>
  <c r="Q88" i="46"/>
  <c r="I119" i="46"/>
  <c r="O119" i="46" s="1"/>
  <c r="I122" i="46"/>
  <c r="O122" i="46" s="1"/>
  <c r="P97" i="46"/>
  <c r="Q97" i="46"/>
  <c r="S173" i="46"/>
  <c r="P89" i="46"/>
  <c r="Q89" i="46"/>
  <c r="I114" i="46"/>
  <c r="O114" i="46" s="1"/>
  <c r="R77" i="46"/>
  <c r="R76" i="46"/>
  <c r="R83" i="46"/>
  <c r="Q87" i="46"/>
  <c r="P87" i="46"/>
  <c r="Q174" i="46"/>
  <c r="I121" i="46"/>
  <c r="O121" i="46" s="1"/>
  <c r="R86" i="46"/>
  <c r="R80" i="46"/>
  <c r="I113" i="46"/>
  <c r="O113" i="46" s="1"/>
  <c r="P91" i="46"/>
  <c r="Q91" i="46"/>
  <c r="P96" i="46"/>
  <c r="Q96" i="46"/>
  <c r="R78" i="46"/>
  <c r="R84" i="46"/>
  <c r="I111" i="46"/>
  <c r="O111" i="46" s="1"/>
  <c r="P54" i="45"/>
  <c r="Q54" i="45"/>
  <c r="P52" i="45"/>
  <c r="Q52" i="45"/>
  <c r="Q51" i="45"/>
  <c r="P51" i="45"/>
  <c r="P170" i="45"/>
  <c r="Q62" i="45"/>
  <c r="P62" i="45"/>
  <c r="Q60" i="45"/>
  <c r="P60" i="45"/>
  <c r="P56" i="45"/>
  <c r="Q56" i="45"/>
  <c r="I30" i="45"/>
  <c r="O30" i="45" s="1"/>
  <c r="I28" i="45"/>
  <c r="O28" i="45" s="1"/>
  <c r="I38" i="45"/>
  <c r="O38" i="45" s="1"/>
  <c r="I36" i="45"/>
  <c r="O36" i="45" s="1"/>
  <c r="I32" i="45"/>
  <c r="O32" i="45" s="1"/>
  <c r="P58" i="45"/>
  <c r="Q58" i="45"/>
  <c r="P61" i="45"/>
  <c r="Q61" i="45"/>
  <c r="P53" i="45"/>
  <c r="Q53" i="45"/>
  <c r="R63" i="45"/>
  <c r="Q55" i="45"/>
  <c r="P55" i="45"/>
  <c r="P59" i="45"/>
  <c r="Q59" i="45"/>
  <c r="P57" i="45"/>
  <c r="Q57" i="45"/>
  <c r="I34" i="45"/>
  <c r="O34" i="45" s="1"/>
  <c r="I37" i="45"/>
  <c r="O37" i="45" s="1"/>
  <c r="I29" i="45"/>
  <c r="O29" i="45" s="1"/>
  <c r="I31" i="45"/>
  <c r="O31" i="45" s="1"/>
  <c r="I35" i="45"/>
  <c r="O35" i="45" s="1"/>
  <c r="R171" i="45"/>
  <c r="R72" i="45"/>
  <c r="P93" i="45"/>
  <c r="Q93" i="45"/>
  <c r="P76" i="45"/>
  <c r="Q76" i="45"/>
  <c r="P172" i="45"/>
  <c r="R71" i="45"/>
  <c r="P94" i="45"/>
  <c r="Q94" i="45"/>
  <c r="R82" i="45"/>
  <c r="R86" i="45"/>
  <c r="R80" i="45"/>
  <c r="P98" i="45"/>
  <c r="Q98" i="45"/>
  <c r="P92" i="45"/>
  <c r="Q92" i="45"/>
  <c r="P85" i="45"/>
  <c r="Q85" i="45"/>
  <c r="Q83" i="45"/>
  <c r="P83" i="45"/>
  <c r="R73" i="45"/>
  <c r="P79" i="45"/>
  <c r="Q79" i="45"/>
  <c r="P78" i="45"/>
  <c r="Q78" i="45"/>
  <c r="Q84" i="45"/>
  <c r="P84" i="45"/>
  <c r="R67" i="45"/>
  <c r="R81" i="45"/>
  <c r="R64" i="45"/>
  <c r="Q77" i="45"/>
  <c r="P77" i="45"/>
  <c r="R66" i="45"/>
  <c r="R65" i="45"/>
  <c r="P130" i="37"/>
  <c r="P128" i="37"/>
  <c r="P133" i="37"/>
  <c r="P134" i="37"/>
  <c r="N136" i="37"/>
  <c r="O29" i="11"/>
  <c r="G42" i="9"/>
  <c r="G18" i="9" s="1"/>
  <c r="G22" i="9"/>
  <c r="G38" i="9"/>
  <c r="L137" i="46"/>
  <c r="O137" i="46" s="1"/>
  <c r="J137" i="22"/>
  <c r="M137" i="22" s="1"/>
  <c r="N137" i="22" s="1"/>
  <c r="N136" i="22"/>
  <c r="E63" i="17"/>
  <c r="L137" i="45"/>
  <c r="O137" i="45" s="1"/>
  <c r="J137" i="37"/>
  <c r="M137" i="37" s="1"/>
  <c r="G23" i="9"/>
  <c r="F23" i="9"/>
  <c r="G39" i="9"/>
  <c r="F39" i="9"/>
  <c r="C14" i="18"/>
  <c r="K37" i="17"/>
  <c r="L41" i="17"/>
  <c r="N37" i="17"/>
  <c r="O41" i="17"/>
  <c r="B32" i="17"/>
  <c r="Q73" i="17"/>
  <c r="Q74" i="17" s="1"/>
  <c r="Q75" i="17" s="1"/>
  <c r="Q76" i="17" s="1"/>
  <c r="Q77" i="17" s="1"/>
  <c r="Q78" i="17" s="1"/>
  <c r="Q79" i="17" s="1"/>
  <c r="Q80" i="17" s="1"/>
  <c r="Q81" i="17" s="1"/>
  <c r="Q82" i="17" s="1"/>
  <c r="Q83" i="17" s="1"/>
  <c r="Q32" i="17"/>
  <c r="Q40" i="17" s="1"/>
  <c r="D14" i="18"/>
  <c r="K156" i="45"/>
  <c r="I153" i="37"/>
  <c r="K149" i="45"/>
  <c r="I149" i="37"/>
  <c r="N131" i="37"/>
  <c r="O131" i="37"/>
  <c r="I147" i="37"/>
  <c r="M135" i="37"/>
  <c r="I155" i="37"/>
  <c r="I156" i="37"/>
  <c r="K153" i="45"/>
  <c r="O129" i="37"/>
  <c r="N129" i="37"/>
  <c r="P111" i="45"/>
  <c r="Q111" i="45"/>
  <c r="K155" i="45"/>
  <c r="N176" i="37"/>
  <c r="K147" i="45"/>
  <c r="N132" i="37"/>
  <c r="O132" i="37"/>
  <c r="N175" i="37"/>
  <c r="N111" i="37"/>
  <c r="P123" i="45"/>
  <c r="Q123" i="45"/>
  <c r="I60" i="11"/>
  <c r="J7" i="11"/>
  <c r="J54" i="11"/>
  <c r="P174" i="37"/>
  <c r="P110" i="37"/>
  <c r="P102" i="37"/>
  <c r="P109" i="37"/>
  <c r="P101" i="37"/>
  <c r="P107" i="37"/>
  <c r="P106" i="37"/>
  <c r="P103" i="37"/>
  <c r="O121" i="37"/>
  <c r="N121" i="37"/>
  <c r="O113" i="37"/>
  <c r="N113" i="37"/>
  <c r="O115" i="37"/>
  <c r="P115" i="37" s="1"/>
  <c r="N115" i="37"/>
  <c r="O112" i="37"/>
  <c r="N112" i="37"/>
  <c r="O119" i="37"/>
  <c r="N119" i="37"/>
  <c r="O116" i="37"/>
  <c r="P116" i="37" s="1"/>
  <c r="N116" i="37"/>
  <c r="O120" i="37"/>
  <c r="N120" i="37"/>
  <c r="O122" i="37"/>
  <c r="P122" i="37" s="1"/>
  <c r="N122" i="37"/>
  <c r="O117" i="37"/>
  <c r="N117" i="37"/>
  <c r="O118" i="37"/>
  <c r="P118" i="37" s="1"/>
  <c r="N118" i="37"/>
  <c r="O114" i="37"/>
  <c r="P114" i="37" s="1"/>
  <c r="N114" i="37"/>
  <c r="B14" i="9"/>
  <c r="K49" i="11"/>
  <c r="O123" i="37"/>
  <c r="P123" i="37" s="1"/>
  <c r="O123" i="22"/>
  <c r="P123" i="22" s="1"/>
  <c r="P159" i="22" s="1"/>
  <c r="Q33" i="17" l="1"/>
  <c r="Q41" i="17" s="1"/>
  <c r="I27" i="45"/>
  <c r="O27" i="45" s="1"/>
  <c r="I33" i="45"/>
  <c r="O33" i="45" s="1"/>
  <c r="L138" i="59"/>
  <c r="I116" i="46"/>
  <c r="O116" i="46" s="1"/>
  <c r="I120" i="46"/>
  <c r="O120" i="46" s="1"/>
  <c r="I117" i="46"/>
  <c r="O117" i="46" s="1"/>
  <c r="I118" i="46"/>
  <c r="O118" i="46" s="1"/>
  <c r="W68" i="17"/>
  <c r="C22" i="9"/>
  <c r="I112" i="46"/>
  <c r="O112" i="46" s="1"/>
  <c r="L138" i="58"/>
  <c r="S173" i="59"/>
  <c r="R82" i="59"/>
  <c r="P91" i="59"/>
  <c r="Q91" i="59"/>
  <c r="P95" i="59"/>
  <c r="Q95" i="59"/>
  <c r="P92" i="59"/>
  <c r="Q92" i="59"/>
  <c r="Q90" i="59"/>
  <c r="P90" i="59"/>
  <c r="I120" i="59"/>
  <c r="O108" i="59"/>
  <c r="R80" i="59"/>
  <c r="R86" i="59"/>
  <c r="R77" i="59"/>
  <c r="R85" i="59"/>
  <c r="R75" i="59"/>
  <c r="I115" i="59"/>
  <c r="O103" i="59"/>
  <c r="I116" i="59"/>
  <c r="O104" i="59"/>
  <c r="I114" i="59"/>
  <c r="O102" i="59"/>
  <c r="R84" i="59"/>
  <c r="Q98" i="59"/>
  <c r="P98" i="59"/>
  <c r="P93" i="59"/>
  <c r="Q93" i="59"/>
  <c r="I113" i="59"/>
  <c r="O101" i="59"/>
  <c r="R78" i="59"/>
  <c r="Q97" i="59"/>
  <c r="P97" i="59"/>
  <c r="I111" i="59"/>
  <c r="O99" i="59"/>
  <c r="P88" i="59"/>
  <c r="Q88" i="59"/>
  <c r="Q94" i="59"/>
  <c r="P94" i="59"/>
  <c r="R76" i="59"/>
  <c r="I119" i="59"/>
  <c r="O107" i="59"/>
  <c r="R79" i="59"/>
  <c r="I122" i="59"/>
  <c r="O110" i="59"/>
  <c r="I117" i="59"/>
  <c r="O105" i="59"/>
  <c r="P89" i="59"/>
  <c r="Q89" i="59"/>
  <c r="P96" i="59"/>
  <c r="Q96" i="59"/>
  <c r="R81" i="59"/>
  <c r="I121" i="59"/>
  <c r="O109" i="59"/>
  <c r="P87" i="59"/>
  <c r="Q87" i="59"/>
  <c r="Q174" i="59"/>
  <c r="I112" i="59"/>
  <c r="O100" i="59"/>
  <c r="I118" i="59"/>
  <c r="O106" i="59"/>
  <c r="R83" i="59"/>
  <c r="Q99" i="46"/>
  <c r="P99" i="46"/>
  <c r="Q175" i="46"/>
  <c r="R96" i="46"/>
  <c r="P101" i="46"/>
  <c r="Q101" i="46"/>
  <c r="I133" i="46"/>
  <c r="O133" i="46" s="1"/>
  <c r="P102" i="46"/>
  <c r="Q102" i="46"/>
  <c r="P110" i="46"/>
  <c r="Q110" i="46"/>
  <c r="R88" i="46"/>
  <c r="P106" i="46"/>
  <c r="Q106" i="46"/>
  <c r="P104" i="46"/>
  <c r="Q104" i="46"/>
  <c r="R95" i="46"/>
  <c r="I127" i="46"/>
  <c r="O127" i="46" s="1"/>
  <c r="I123" i="46"/>
  <c r="I125" i="46"/>
  <c r="O125" i="46" s="1"/>
  <c r="I126" i="46"/>
  <c r="O126" i="46" s="1"/>
  <c r="I134" i="46"/>
  <c r="O134" i="46" s="1"/>
  <c r="R98" i="46"/>
  <c r="P108" i="46"/>
  <c r="Q108" i="46"/>
  <c r="R94" i="46"/>
  <c r="R93" i="46"/>
  <c r="R91" i="46"/>
  <c r="S174" i="46"/>
  <c r="Q100" i="46"/>
  <c r="P100" i="46"/>
  <c r="R89" i="46"/>
  <c r="R97" i="46"/>
  <c r="Q107" i="46"/>
  <c r="P107" i="46"/>
  <c r="R90" i="46"/>
  <c r="P105" i="46"/>
  <c r="Q105" i="46"/>
  <c r="P109" i="46"/>
  <c r="Q109" i="46"/>
  <c r="R87" i="46"/>
  <c r="I131" i="46"/>
  <c r="O131" i="46" s="1"/>
  <c r="P103" i="46"/>
  <c r="Q103" i="46"/>
  <c r="R92" i="46"/>
  <c r="I23" i="45"/>
  <c r="O23" i="45" s="1"/>
  <c r="I17" i="45"/>
  <c r="I22" i="45"/>
  <c r="O22" i="45" s="1"/>
  <c r="I20" i="45"/>
  <c r="O20" i="45" s="1"/>
  <c r="I26" i="45"/>
  <c r="O26" i="45" s="1"/>
  <c r="I16" i="45"/>
  <c r="R62" i="45"/>
  <c r="R52" i="45"/>
  <c r="Q45" i="45"/>
  <c r="P45" i="45"/>
  <c r="Q43" i="45"/>
  <c r="P43" i="45"/>
  <c r="Q49" i="45"/>
  <c r="P49" i="45"/>
  <c r="R57" i="45"/>
  <c r="R53" i="45"/>
  <c r="R58" i="45"/>
  <c r="P48" i="45"/>
  <c r="Q48" i="45"/>
  <c r="Q39" i="45"/>
  <c r="P39" i="45"/>
  <c r="P169" i="45"/>
  <c r="P42" i="45"/>
  <c r="Q42" i="45"/>
  <c r="I19" i="45"/>
  <c r="I25" i="45"/>
  <c r="O25" i="45" s="1"/>
  <c r="R55" i="45"/>
  <c r="I24" i="45"/>
  <c r="O24" i="45" s="1"/>
  <c r="I18" i="45"/>
  <c r="R60" i="45"/>
  <c r="R170" i="45"/>
  <c r="R54" i="45"/>
  <c r="Q47" i="45"/>
  <c r="P47" i="45"/>
  <c r="Q41" i="45"/>
  <c r="P41" i="45"/>
  <c r="P46" i="45"/>
  <c r="Q46" i="45"/>
  <c r="R59" i="45"/>
  <c r="R61" i="45"/>
  <c r="P44" i="45"/>
  <c r="Q44" i="45"/>
  <c r="P50" i="45"/>
  <c r="Q50" i="45"/>
  <c r="Q40" i="45"/>
  <c r="P40" i="45"/>
  <c r="R56" i="45"/>
  <c r="R51" i="45"/>
  <c r="Q96" i="45"/>
  <c r="P96" i="45"/>
  <c r="P90" i="45"/>
  <c r="Q90" i="45"/>
  <c r="P95" i="45"/>
  <c r="Q95" i="45"/>
  <c r="Q104" i="45"/>
  <c r="P104" i="45"/>
  <c r="R79" i="45"/>
  <c r="R92" i="45"/>
  <c r="P88" i="45"/>
  <c r="Q88" i="45"/>
  <c r="P173" i="45"/>
  <c r="R94" i="45"/>
  <c r="AH88" i="45"/>
  <c r="R84" i="45"/>
  <c r="R83" i="45"/>
  <c r="R76" i="45"/>
  <c r="P91" i="45"/>
  <c r="Q91" i="45"/>
  <c r="Q97" i="45"/>
  <c r="P97" i="45"/>
  <c r="P110" i="45"/>
  <c r="Q110" i="45"/>
  <c r="R78" i="45"/>
  <c r="R85" i="45"/>
  <c r="R98" i="45"/>
  <c r="P106" i="45"/>
  <c r="Q106" i="45"/>
  <c r="Q105" i="45"/>
  <c r="P105" i="45"/>
  <c r="P89" i="45"/>
  <c r="Q89" i="45"/>
  <c r="R172" i="45"/>
  <c r="R77" i="45"/>
  <c r="R93" i="45"/>
  <c r="P129" i="37"/>
  <c r="P131" i="37"/>
  <c r="P132" i="37"/>
  <c r="Q36" i="17"/>
  <c r="N34" i="11"/>
  <c r="H17" i="9"/>
  <c r="N30" i="11"/>
  <c r="D17" i="18"/>
  <c r="L138" i="46"/>
  <c r="O138" i="46" s="1"/>
  <c r="J138" i="22"/>
  <c r="M138" i="22" s="1"/>
  <c r="E64" i="17"/>
  <c r="L138" i="45"/>
  <c r="O138" i="45" s="1"/>
  <c r="J138" i="37"/>
  <c r="M138" i="37" s="1"/>
  <c r="D18" i="18"/>
  <c r="O30" i="11"/>
  <c r="C18" i="18"/>
  <c r="O25" i="11"/>
  <c r="B40" i="17"/>
  <c r="B33" i="17"/>
  <c r="R40" i="17"/>
  <c r="J60" i="11"/>
  <c r="R123" i="45"/>
  <c r="P135" i="45"/>
  <c r="Q135" i="45"/>
  <c r="N137" i="37"/>
  <c r="O137" i="37"/>
  <c r="R111" i="45"/>
  <c r="O135" i="37"/>
  <c r="N135" i="37"/>
  <c r="K54" i="11"/>
  <c r="K7" i="11"/>
  <c r="M20" i="11"/>
  <c r="E37" i="9"/>
  <c r="B31" i="18"/>
  <c r="B37" i="18" s="1"/>
  <c r="B16" i="9"/>
  <c r="P175" i="37"/>
  <c r="P117" i="37"/>
  <c r="P120" i="37"/>
  <c r="P119" i="37"/>
  <c r="P121" i="37"/>
  <c r="P112" i="37"/>
  <c r="P113" i="37"/>
  <c r="O125" i="37"/>
  <c r="N125" i="37"/>
  <c r="O127" i="37"/>
  <c r="N127" i="37"/>
  <c r="O124" i="37"/>
  <c r="N124" i="37"/>
  <c r="O126" i="37"/>
  <c r="N126" i="37"/>
  <c r="B15" i="9"/>
  <c r="I15" i="45" l="1"/>
  <c r="O15" i="45" s="1"/>
  <c r="I21" i="45"/>
  <c r="O21" i="45" s="1"/>
  <c r="L139" i="59"/>
  <c r="I128" i="46"/>
  <c r="O128" i="46" s="1"/>
  <c r="N31" i="11"/>
  <c r="O26" i="11"/>
  <c r="I132" i="46"/>
  <c r="O132" i="46" s="1"/>
  <c r="I129" i="46"/>
  <c r="O129" i="46" s="1"/>
  <c r="I130" i="46"/>
  <c r="O130" i="46" s="1"/>
  <c r="W69" i="17"/>
  <c r="C23" i="9"/>
  <c r="I124" i="46"/>
  <c r="O124" i="46" s="1"/>
  <c r="L139" i="58"/>
  <c r="N12" i="11"/>
  <c r="S174" i="59"/>
  <c r="I124" i="59"/>
  <c r="O112" i="59"/>
  <c r="R87" i="59"/>
  <c r="R96" i="59"/>
  <c r="P105" i="59"/>
  <c r="Q105" i="59"/>
  <c r="Q110" i="59"/>
  <c r="P110" i="59"/>
  <c r="I123" i="59"/>
  <c r="O111" i="59"/>
  <c r="I125" i="59"/>
  <c r="O113" i="59"/>
  <c r="I128" i="59"/>
  <c r="O116" i="59"/>
  <c r="I132" i="59"/>
  <c r="O120" i="59"/>
  <c r="R91" i="59"/>
  <c r="Q106" i="59"/>
  <c r="P106" i="59"/>
  <c r="I129" i="59"/>
  <c r="O117" i="59"/>
  <c r="I134" i="59"/>
  <c r="O122" i="59"/>
  <c r="R93" i="59"/>
  <c r="Q102" i="59"/>
  <c r="P102" i="59"/>
  <c r="I130" i="59"/>
  <c r="O118" i="59"/>
  <c r="P109" i="59"/>
  <c r="Q109" i="59"/>
  <c r="R89" i="59"/>
  <c r="P107" i="59"/>
  <c r="Q107" i="59"/>
  <c r="R94" i="59"/>
  <c r="R97" i="59"/>
  <c r="R98" i="59"/>
  <c r="I126" i="59"/>
  <c r="O114" i="59"/>
  <c r="P103" i="59"/>
  <c r="Q103" i="59"/>
  <c r="R90" i="59"/>
  <c r="R95" i="59"/>
  <c r="P100" i="59"/>
  <c r="Q100" i="59"/>
  <c r="I133" i="59"/>
  <c r="O121" i="59"/>
  <c r="I131" i="59"/>
  <c r="O119" i="59"/>
  <c r="R88" i="59"/>
  <c r="P99" i="59"/>
  <c r="Q99" i="59"/>
  <c r="Q175" i="59"/>
  <c r="P101" i="59"/>
  <c r="Q101" i="59"/>
  <c r="Q104" i="59"/>
  <c r="P104" i="59"/>
  <c r="I127" i="59"/>
  <c r="O115" i="59"/>
  <c r="P108" i="59"/>
  <c r="Q108" i="59"/>
  <c r="R92" i="59"/>
  <c r="O123" i="46"/>
  <c r="I135" i="46"/>
  <c r="I143" i="46"/>
  <c r="P120" i="46"/>
  <c r="Q120" i="46"/>
  <c r="I138" i="46"/>
  <c r="I145" i="46"/>
  <c r="Q117" i="46"/>
  <c r="P117" i="46"/>
  <c r="P112" i="46"/>
  <c r="Q112" i="46"/>
  <c r="R109" i="46"/>
  <c r="R100" i="46"/>
  <c r="R108" i="46"/>
  <c r="Q116" i="46"/>
  <c r="P116" i="46"/>
  <c r="P122" i="46"/>
  <c r="Q122" i="46"/>
  <c r="P113" i="46"/>
  <c r="Q113" i="46"/>
  <c r="P115" i="46"/>
  <c r="Q115" i="46"/>
  <c r="R104" i="46"/>
  <c r="R102" i="46"/>
  <c r="R101" i="46"/>
  <c r="R105" i="46"/>
  <c r="I146" i="46"/>
  <c r="I137" i="46"/>
  <c r="I139" i="46"/>
  <c r="S175" i="46"/>
  <c r="R103" i="46"/>
  <c r="Q119" i="46"/>
  <c r="P119" i="46"/>
  <c r="R107" i="46"/>
  <c r="P118" i="46"/>
  <c r="Q118" i="46"/>
  <c r="Q114" i="46"/>
  <c r="P114" i="46"/>
  <c r="Q176" i="46"/>
  <c r="Q111" i="46"/>
  <c r="P111" i="46"/>
  <c r="R106" i="46"/>
  <c r="R110" i="46"/>
  <c r="P121" i="46"/>
  <c r="Q121" i="46"/>
  <c r="R99" i="46"/>
  <c r="R50" i="45"/>
  <c r="R46" i="45"/>
  <c r="I6" i="45"/>
  <c r="O6" i="45" s="1"/>
  <c r="O18" i="45"/>
  <c r="I12" i="45"/>
  <c r="O12" i="45" s="1"/>
  <c r="I13" i="45"/>
  <c r="O13" i="45" s="1"/>
  <c r="R169" i="45"/>
  <c r="P28" i="45"/>
  <c r="Q28" i="45"/>
  <c r="Q32" i="45"/>
  <c r="P32" i="45"/>
  <c r="P29" i="45"/>
  <c r="Q29" i="45"/>
  <c r="R47" i="45"/>
  <c r="P27" i="45"/>
  <c r="Q27" i="45"/>
  <c r="P168" i="45"/>
  <c r="Q31" i="45"/>
  <c r="P31" i="45"/>
  <c r="R42" i="45"/>
  <c r="R39" i="45"/>
  <c r="R43" i="45"/>
  <c r="O16" i="45"/>
  <c r="I4" i="45"/>
  <c r="O4" i="45" s="1"/>
  <c r="I8" i="45"/>
  <c r="O8" i="45" s="1"/>
  <c r="I5" i="45"/>
  <c r="O5" i="45" s="1"/>
  <c r="O17" i="45"/>
  <c r="AH87" i="45"/>
  <c r="R44" i="45"/>
  <c r="I7" i="45"/>
  <c r="O7" i="45" s="1"/>
  <c r="O19" i="45"/>
  <c r="R48" i="45"/>
  <c r="Q38" i="45"/>
  <c r="P38" i="45"/>
  <c r="Q34" i="45"/>
  <c r="P34" i="45"/>
  <c r="P35" i="45"/>
  <c r="Q35" i="45"/>
  <c r="R40" i="45"/>
  <c r="R41" i="45"/>
  <c r="P30" i="45"/>
  <c r="Q30" i="45"/>
  <c r="P36" i="45"/>
  <c r="Q36" i="45"/>
  <c r="Q37" i="45"/>
  <c r="P37" i="45"/>
  <c r="Q33" i="45"/>
  <c r="P33" i="45"/>
  <c r="R49" i="45"/>
  <c r="R45" i="45"/>
  <c r="I14" i="45"/>
  <c r="O14" i="45" s="1"/>
  <c r="I10" i="45"/>
  <c r="O10" i="45" s="1"/>
  <c r="I11" i="45"/>
  <c r="O11" i="45" s="1"/>
  <c r="R89" i="45"/>
  <c r="R106" i="45"/>
  <c r="R110" i="45"/>
  <c r="R91" i="45"/>
  <c r="P100" i="45"/>
  <c r="Q100" i="45"/>
  <c r="P174" i="45"/>
  <c r="P107" i="45"/>
  <c r="Q107" i="45"/>
  <c r="R90" i="45"/>
  <c r="P101" i="45"/>
  <c r="Q101" i="45"/>
  <c r="P118" i="45"/>
  <c r="Q118" i="45"/>
  <c r="P109" i="45"/>
  <c r="Q109" i="45"/>
  <c r="P108" i="45"/>
  <c r="Q108" i="45"/>
  <c r="R104" i="45"/>
  <c r="P116" i="45"/>
  <c r="Q116" i="45"/>
  <c r="R88" i="45"/>
  <c r="R95" i="45"/>
  <c r="Q117" i="45"/>
  <c r="P117" i="45"/>
  <c r="P122" i="45"/>
  <c r="Q122" i="45"/>
  <c r="P103" i="45"/>
  <c r="Q103" i="45"/>
  <c r="R105" i="45"/>
  <c r="R97" i="45"/>
  <c r="AH89" i="45"/>
  <c r="Q102" i="45"/>
  <c r="P102" i="45"/>
  <c r="R173" i="45"/>
  <c r="R96" i="45"/>
  <c r="B36" i="17"/>
  <c r="N11" i="11"/>
  <c r="C40" i="17"/>
  <c r="C38" i="9"/>
  <c r="H22" i="9"/>
  <c r="E13" i="18"/>
  <c r="O31" i="11"/>
  <c r="L139" i="46"/>
  <c r="O139" i="46" s="1"/>
  <c r="J139" i="22"/>
  <c r="M139" i="22" s="1"/>
  <c r="N139" i="22" s="1"/>
  <c r="N138" i="22"/>
  <c r="E65" i="17"/>
  <c r="L139" i="45"/>
  <c r="O139" i="45" s="1"/>
  <c r="J139" i="37"/>
  <c r="M139" i="37" s="1"/>
  <c r="O138" i="37"/>
  <c r="N138" i="37"/>
  <c r="B41" i="17"/>
  <c r="K60" i="11"/>
  <c r="L7" i="11"/>
  <c r="L54" i="11"/>
  <c r="M49" i="11"/>
  <c r="B35" i="18"/>
  <c r="B39" i="18"/>
  <c r="M7" i="11"/>
  <c r="M54" i="11"/>
  <c r="P124" i="37"/>
  <c r="P125" i="37"/>
  <c r="P126" i="37"/>
  <c r="P127" i="37"/>
  <c r="P176" i="37"/>
  <c r="I3" i="45" l="1"/>
  <c r="O3" i="45" s="1"/>
  <c r="Q3" i="45" s="1"/>
  <c r="I9" i="45"/>
  <c r="O9" i="45" s="1"/>
  <c r="L140" i="59"/>
  <c r="I140" i="46"/>
  <c r="I152" i="46" s="1"/>
  <c r="I141" i="46"/>
  <c r="I153" i="46" s="1"/>
  <c r="O12" i="11"/>
  <c r="I144" i="46"/>
  <c r="I156" i="46" s="1"/>
  <c r="I142" i="46"/>
  <c r="I154" i="46" s="1"/>
  <c r="W70" i="17"/>
  <c r="I136" i="46"/>
  <c r="I148" i="46" s="1"/>
  <c r="L140" i="58"/>
  <c r="H160" i="59"/>
  <c r="I135" i="58"/>
  <c r="I135" i="59"/>
  <c r="I147" i="59" s="1"/>
  <c r="R101" i="59"/>
  <c r="S175" i="59"/>
  <c r="I143" i="59"/>
  <c r="I155" i="59" s="1"/>
  <c r="O131" i="59"/>
  <c r="I138" i="59"/>
  <c r="I150" i="59" s="1"/>
  <c r="O126" i="59"/>
  <c r="I142" i="59"/>
  <c r="I154" i="59" s="1"/>
  <c r="O130" i="59"/>
  <c r="Q122" i="59"/>
  <c r="P122" i="59"/>
  <c r="P113" i="59"/>
  <c r="Q113" i="59"/>
  <c r="P111" i="59"/>
  <c r="Q111" i="59"/>
  <c r="Q176" i="59"/>
  <c r="R104" i="59"/>
  <c r="P121" i="59"/>
  <c r="Q121" i="59"/>
  <c r="R103" i="59"/>
  <c r="I146" i="59"/>
  <c r="I158" i="59" s="1"/>
  <c r="O134" i="59"/>
  <c r="R106" i="59"/>
  <c r="P116" i="59"/>
  <c r="Q116" i="59"/>
  <c r="I137" i="59"/>
  <c r="I149" i="59" s="1"/>
  <c r="O125" i="59"/>
  <c r="O123" i="59"/>
  <c r="R110" i="59"/>
  <c r="R108" i="59"/>
  <c r="P115" i="59"/>
  <c r="Q115" i="59"/>
  <c r="I145" i="59"/>
  <c r="I157" i="59" s="1"/>
  <c r="O133" i="59"/>
  <c r="P117" i="59"/>
  <c r="Q117" i="59"/>
  <c r="P120" i="59"/>
  <c r="Q120" i="59"/>
  <c r="I140" i="59"/>
  <c r="I152" i="59" s="1"/>
  <c r="O128" i="59"/>
  <c r="R105" i="59"/>
  <c r="P112" i="59"/>
  <c r="Q112" i="59"/>
  <c r="I139" i="59"/>
  <c r="I151" i="59" s="1"/>
  <c r="O127" i="59"/>
  <c r="R99" i="59"/>
  <c r="P119" i="59"/>
  <c r="Q119" i="59"/>
  <c r="R100" i="59"/>
  <c r="Q114" i="59"/>
  <c r="P114" i="59"/>
  <c r="R107" i="59"/>
  <c r="R109" i="59"/>
  <c r="Q118" i="59"/>
  <c r="P118" i="59"/>
  <c r="R102" i="59"/>
  <c r="I141" i="59"/>
  <c r="I153" i="59" s="1"/>
  <c r="O129" i="59"/>
  <c r="I144" i="59"/>
  <c r="I156" i="59" s="1"/>
  <c r="O132" i="59"/>
  <c r="I136" i="59"/>
  <c r="I148" i="59" s="1"/>
  <c r="O124" i="59"/>
  <c r="S176" i="46"/>
  <c r="R114" i="46"/>
  <c r="I151" i="46"/>
  <c r="I158" i="46"/>
  <c r="R115" i="46"/>
  <c r="R122" i="46"/>
  <c r="Q132" i="46"/>
  <c r="R132" i="46" s="1"/>
  <c r="P132" i="46"/>
  <c r="R112" i="46"/>
  <c r="P133" i="46"/>
  <c r="Q133" i="46"/>
  <c r="R133" i="46" s="1"/>
  <c r="Q126" i="46"/>
  <c r="P126" i="46"/>
  <c r="R120" i="46"/>
  <c r="R111" i="46"/>
  <c r="R118" i="46"/>
  <c r="P125" i="46"/>
  <c r="Q125" i="46"/>
  <c r="Q128" i="46"/>
  <c r="P128" i="46"/>
  <c r="P124" i="46"/>
  <c r="Q124" i="46"/>
  <c r="I157" i="46"/>
  <c r="I150" i="46"/>
  <c r="P138" i="46"/>
  <c r="P139" i="46"/>
  <c r="R121" i="46"/>
  <c r="I149" i="46"/>
  <c r="P137" i="46"/>
  <c r="P136" i="46"/>
  <c r="R113" i="46"/>
  <c r="Q123" i="46"/>
  <c r="P123" i="46"/>
  <c r="Q177" i="46"/>
  <c r="Q130" i="46"/>
  <c r="R130" i="46" s="1"/>
  <c r="P130" i="46"/>
  <c r="P131" i="46"/>
  <c r="Q131" i="46"/>
  <c r="R131" i="46" s="1"/>
  <c r="R119" i="46"/>
  <c r="P127" i="46"/>
  <c r="Q127" i="46"/>
  <c r="Q134" i="46"/>
  <c r="R134" i="46" s="1"/>
  <c r="P134" i="46"/>
  <c r="Q129" i="46"/>
  <c r="R129" i="46" s="1"/>
  <c r="P129" i="46"/>
  <c r="R116" i="46"/>
  <c r="R117" i="46"/>
  <c r="I147" i="46"/>
  <c r="P135" i="46"/>
  <c r="I155" i="46"/>
  <c r="Q10" i="45"/>
  <c r="P10" i="45"/>
  <c r="R33" i="45"/>
  <c r="R38" i="45"/>
  <c r="Q7" i="45"/>
  <c r="P7" i="45"/>
  <c r="P20" i="45"/>
  <c r="Q20" i="45"/>
  <c r="R32" i="45"/>
  <c r="P21" i="45"/>
  <c r="Q21" i="45"/>
  <c r="P24" i="45"/>
  <c r="Q24" i="45"/>
  <c r="Q23" i="45"/>
  <c r="P23" i="45"/>
  <c r="P26" i="45"/>
  <c r="Q26" i="45"/>
  <c r="R30" i="45"/>
  <c r="Q8" i="45"/>
  <c r="P8" i="45"/>
  <c r="R27" i="45"/>
  <c r="R29" i="45"/>
  <c r="R28" i="45"/>
  <c r="Q12" i="45"/>
  <c r="P12" i="45"/>
  <c r="P11" i="45"/>
  <c r="Q11" i="45"/>
  <c r="P14" i="45"/>
  <c r="Q14" i="45"/>
  <c r="R37" i="45"/>
  <c r="R34" i="45"/>
  <c r="Q15" i="45"/>
  <c r="P15" i="45"/>
  <c r="P167" i="45"/>
  <c r="Q17" i="45"/>
  <c r="P17" i="45"/>
  <c r="Q4" i="45"/>
  <c r="P4" i="45"/>
  <c r="AH86" i="45"/>
  <c r="R168" i="45"/>
  <c r="P25" i="45"/>
  <c r="Q25" i="45"/>
  <c r="Q18" i="45"/>
  <c r="P18" i="45"/>
  <c r="P22" i="45"/>
  <c r="Q22" i="45"/>
  <c r="R36" i="45"/>
  <c r="R35" i="45"/>
  <c r="P19" i="45"/>
  <c r="Q19" i="45"/>
  <c r="Q5" i="45"/>
  <c r="P5" i="45"/>
  <c r="Q16" i="45"/>
  <c r="P16" i="45"/>
  <c r="R31" i="45"/>
  <c r="P13" i="45"/>
  <c r="Q13" i="45"/>
  <c r="P6" i="45"/>
  <c r="Q6" i="45"/>
  <c r="P121" i="45"/>
  <c r="Q121" i="45"/>
  <c r="P113" i="45"/>
  <c r="Q113" i="45"/>
  <c r="R108" i="45"/>
  <c r="Q112" i="45"/>
  <c r="P112" i="45"/>
  <c r="P175" i="45"/>
  <c r="R118" i="45"/>
  <c r="R107" i="45"/>
  <c r="R174" i="45"/>
  <c r="R102" i="45"/>
  <c r="R103" i="45"/>
  <c r="AH90" i="45"/>
  <c r="R116" i="45"/>
  <c r="P115" i="45"/>
  <c r="Q115" i="45"/>
  <c r="Q129" i="45"/>
  <c r="R129" i="45" s="1"/>
  <c r="P129" i="45"/>
  <c r="Q128" i="45"/>
  <c r="R128" i="45" s="1"/>
  <c r="P128" i="45"/>
  <c r="R117" i="45"/>
  <c r="P130" i="45"/>
  <c r="Q130" i="45"/>
  <c r="R130" i="45" s="1"/>
  <c r="P119" i="45"/>
  <c r="Q119" i="45"/>
  <c r="R109" i="45"/>
  <c r="R101" i="45"/>
  <c r="P114" i="45"/>
  <c r="Q114" i="45"/>
  <c r="R122" i="45"/>
  <c r="P120" i="45"/>
  <c r="Q120" i="45"/>
  <c r="R100" i="45"/>
  <c r="Q134" i="45"/>
  <c r="R134" i="45" s="1"/>
  <c r="P134" i="45"/>
  <c r="B37" i="17"/>
  <c r="O11" i="11"/>
  <c r="C39" i="9"/>
  <c r="R41" i="17"/>
  <c r="O34" i="11"/>
  <c r="H18" i="9"/>
  <c r="E17" i="18"/>
  <c r="N35" i="11"/>
  <c r="J140" i="22"/>
  <c r="M140" i="22" s="1"/>
  <c r="L140" i="46"/>
  <c r="O140" i="46" s="1"/>
  <c r="O139" i="37"/>
  <c r="N139" i="37"/>
  <c r="E66" i="17"/>
  <c r="L140" i="45"/>
  <c r="O140" i="45" s="1"/>
  <c r="J140" i="37"/>
  <c r="M140" i="37" s="1"/>
  <c r="Q37" i="17"/>
  <c r="C41" i="17"/>
  <c r="B33" i="18"/>
  <c r="B32" i="18"/>
  <c r="L60" i="11"/>
  <c r="M60" i="11"/>
  <c r="P3" i="45" l="1"/>
  <c r="P166" i="45"/>
  <c r="P9" i="45"/>
  <c r="Q9" i="45"/>
  <c r="L141" i="59"/>
  <c r="N36" i="11"/>
  <c r="W71" i="17"/>
  <c r="L141" i="58"/>
  <c r="O141" i="58" s="1"/>
  <c r="O139" i="59"/>
  <c r="P139" i="59" s="1"/>
  <c r="I142" i="58"/>
  <c r="I130" i="58" s="1"/>
  <c r="O136" i="58"/>
  <c r="I136" i="58"/>
  <c r="I124" i="58" s="1"/>
  <c r="O140" i="59"/>
  <c r="P140" i="59" s="1"/>
  <c r="O137" i="58"/>
  <c r="I137" i="58"/>
  <c r="I125" i="58" s="1"/>
  <c r="O138" i="58"/>
  <c r="I138" i="58"/>
  <c r="I126" i="58" s="1"/>
  <c r="I141" i="58"/>
  <c r="I129" i="58" s="1"/>
  <c r="I146" i="58"/>
  <c r="I134" i="58" s="1"/>
  <c r="O137" i="59"/>
  <c r="P137" i="59" s="1"/>
  <c r="I143" i="58"/>
  <c r="I131" i="58" s="1"/>
  <c r="O141" i="59"/>
  <c r="P141" i="59" s="1"/>
  <c r="O136" i="59"/>
  <c r="P136" i="59" s="1"/>
  <c r="I145" i="58"/>
  <c r="I133" i="58" s="1"/>
  <c r="O140" i="58"/>
  <c r="I140" i="58"/>
  <c r="I128" i="58" s="1"/>
  <c r="O138" i="59"/>
  <c r="P138" i="59" s="1"/>
  <c r="I139" i="58"/>
  <c r="I127" i="58" s="1"/>
  <c r="O139" i="58"/>
  <c r="I144" i="58"/>
  <c r="I132" i="58" s="1"/>
  <c r="O135" i="59"/>
  <c r="I123" i="58"/>
  <c r="O135" i="58"/>
  <c r="P132" i="59"/>
  <c r="Q132" i="59"/>
  <c r="R132" i="59" s="1"/>
  <c r="R120" i="59"/>
  <c r="R121" i="59"/>
  <c r="R114" i="59"/>
  <c r="R119" i="59"/>
  <c r="R112" i="59"/>
  <c r="R115" i="59"/>
  <c r="P125" i="59"/>
  <c r="Q125" i="59"/>
  <c r="Q134" i="59"/>
  <c r="R134" i="59" s="1"/>
  <c r="P134" i="59"/>
  <c r="Q131" i="59"/>
  <c r="R131" i="59" s="1"/>
  <c r="P131" i="59"/>
  <c r="P124" i="59"/>
  <c r="Q124" i="59"/>
  <c r="Q129" i="59"/>
  <c r="R129" i="59" s="1"/>
  <c r="P129" i="59"/>
  <c r="P128" i="59"/>
  <c r="Q128" i="59"/>
  <c r="R117" i="59"/>
  <c r="R111" i="59"/>
  <c r="R113" i="59"/>
  <c r="Q130" i="59"/>
  <c r="R130" i="59" s="1"/>
  <c r="P130" i="59"/>
  <c r="Q126" i="59"/>
  <c r="P126" i="59"/>
  <c r="R118" i="59"/>
  <c r="P127" i="59"/>
  <c r="Q127" i="59"/>
  <c r="Q133" i="59"/>
  <c r="R133" i="59" s="1"/>
  <c r="P133" i="59"/>
  <c r="P123" i="59"/>
  <c r="Q123" i="59"/>
  <c r="Q177" i="59"/>
  <c r="R116" i="59"/>
  <c r="S176" i="59"/>
  <c r="R122" i="59"/>
  <c r="R127" i="46"/>
  <c r="R124" i="46"/>
  <c r="R125" i="46"/>
  <c r="S177" i="46"/>
  <c r="R123" i="46"/>
  <c r="R128" i="46"/>
  <c r="R126" i="46"/>
  <c r="R6" i="45"/>
  <c r="R22" i="45"/>
  <c r="R25" i="45"/>
  <c r="R12" i="45"/>
  <c r="R26" i="45"/>
  <c r="R24" i="45"/>
  <c r="R5" i="45"/>
  <c r="R4" i="45"/>
  <c r="R167" i="45"/>
  <c r="R11" i="45"/>
  <c r="R3" i="45"/>
  <c r="R7" i="45"/>
  <c r="R13" i="45"/>
  <c r="R19" i="45"/>
  <c r="R15" i="45"/>
  <c r="R8" i="45"/>
  <c r="R21" i="45"/>
  <c r="R20" i="45"/>
  <c r="R16" i="45"/>
  <c r="R18" i="45"/>
  <c r="R17" i="45"/>
  <c r="R14" i="45"/>
  <c r="AH85" i="45"/>
  <c r="R23" i="45"/>
  <c r="R10" i="45"/>
  <c r="P126" i="45"/>
  <c r="Q126" i="45"/>
  <c r="R120" i="45"/>
  <c r="P127" i="45"/>
  <c r="Q127" i="45"/>
  <c r="R119" i="45"/>
  <c r="P124" i="45"/>
  <c r="Q124" i="45"/>
  <c r="P176" i="45"/>
  <c r="Q133" i="45"/>
  <c r="R133" i="45" s="1"/>
  <c r="P133" i="45"/>
  <c r="R175" i="45"/>
  <c r="R113" i="45"/>
  <c r="P132" i="45"/>
  <c r="Q132" i="45"/>
  <c r="R132" i="45" s="1"/>
  <c r="R112" i="45"/>
  <c r="AH91" i="45"/>
  <c r="P131" i="45"/>
  <c r="Q131" i="45"/>
  <c r="R131" i="45" s="1"/>
  <c r="R114" i="45"/>
  <c r="R115" i="45"/>
  <c r="P125" i="45"/>
  <c r="Q125" i="45"/>
  <c r="R121" i="45"/>
  <c r="G159" i="45"/>
  <c r="H23" i="9"/>
  <c r="E14" i="18"/>
  <c r="P140" i="46"/>
  <c r="N140" i="22"/>
  <c r="L141" i="46"/>
  <c r="J141" i="22"/>
  <c r="M141" i="22" s="1"/>
  <c r="N141" i="22" s="1"/>
  <c r="O140" i="37"/>
  <c r="N140" i="37"/>
  <c r="Q140" i="45"/>
  <c r="P140" i="45"/>
  <c r="E67" i="17"/>
  <c r="L141" i="45"/>
  <c r="O141" i="45" s="1"/>
  <c r="J141" i="37"/>
  <c r="M141" i="37" s="1"/>
  <c r="R9" i="45" l="1"/>
  <c r="L142" i="59"/>
  <c r="O142" i="59" s="1"/>
  <c r="P142" i="59" s="1"/>
  <c r="O141" i="46"/>
  <c r="P141" i="46" s="1"/>
  <c r="W72" i="17"/>
  <c r="W32" i="17"/>
  <c r="W40" i="17" s="1"/>
  <c r="L142" i="58"/>
  <c r="O142" i="58" s="1"/>
  <c r="P142" i="58" s="1"/>
  <c r="P140" i="58"/>
  <c r="Q140" i="58"/>
  <c r="O131" i="58"/>
  <c r="I119" i="58"/>
  <c r="I150" i="58"/>
  <c r="I148" i="58"/>
  <c r="Q139" i="58"/>
  <c r="P139" i="58"/>
  <c r="O133" i="58"/>
  <c r="I121" i="58"/>
  <c r="I117" i="58"/>
  <c r="O129" i="58"/>
  <c r="I113" i="58"/>
  <c r="O125" i="58"/>
  <c r="I156" i="58"/>
  <c r="I151" i="58"/>
  <c r="I152" i="58"/>
  <c r="I155" i="58"/>
  <c r="I158" i="58"/>
  <c r="Q141" i="58"/>
  <c r="P141" i="58"/>
  <c r="I114" i="58"/>
  <c r="O126" i="58"/>
  <c r="Q137" i="58"/>
  <c r="P137" i="58"/>
  <c r="I112" i="58"/>
  <c r="O124" i="58"/>
  <c r="I118" i="58"/>
  <c r="O130" i="58"/>
  <c r="G160" i="59"/>
  <c r="O132" i="58"/>
  <c r="I120" i="58"/>
  <c r="I115" i="58"/>
  <c r="O127" i="58"/>
  <c r="O128" i="58"/>
  <c r="I116" i="58"/>
  <c r="I157" i="58"/>
  <c r="I122" i="58"/>
  <c r="O134" i="58"/>
  <c r="I153" i="58"/>
  <c r="P138" i="58"/>
  <c r="Q138" i="58"/>
  <c r="I149" i="58"/>
  <c r="Q136" i="58"/>
  <c r="P136" i="58"/>
  <c r="I154" i="58"/>
  <c r="Q135" i="58"/>
  <c r="P135" i="58"/>
  <c r="I147" i="58"/>
  <c r="I111" i="58"/>
  <c r="O123" i="58"/>
  <c r="P135" i="59"/>
  <c r="S177" i="59"/>
  <c r="R127" i="59"/>
  <c r="R126" i="59"/>
  <c r="R125" i="59"/>
  <c r="R124" i="59"/>
  <c r="R123" i="59"/>
  <c r="R128" i="59"/>
  <c r="R159" i="46"/>
  <c r="AH84" i="45"/>
  <c r="AH83" i="45"/>
  <c r="AH92" i="45"/>
  <c r="Q138" i="45"/>
  <c r="P138" i="45"/>
  <c r="R127" i="45"/>
  <c r="R126" i="45"/>
  <c r="P137" i="45"/>
  <c r="Q137" i="45"/>
  <c r="R125" i="45"/>
  <c r="P136" i="45"/>
  <c r="Q136" i="45"/>
  <c r="R124" i="45"/>
  <c r="Q139" i="45"/>
  <c r="P139" i="45"/>
  <c r="R176" i="45"/>
  <c r="O35" i="11"/>
  <c r="E18" i="18"/>
  <c r="L142" i="46"/>
  <c r="J142" i="22"/>
  <c r="M142" i="22" s="1"/>
  <c r="N142" i="22" s="1"/>
  <c r="O141" i="37"/>
  <c r="N141" i="37"/>
  <c r="P141" i="45"/>
  <c r="Q141" i="45"/>
  <c r="E68" i="17"/>
  <c r="L142" i="45"/>
  <c r="O142" i="45" s="1"/>
  <c r="J142" i="37"/>
  <c r="M142" i="37" s="1"/>
  <c r="L143" i="59" l="1"/>
  <c r="O143" i="59" s="1"/>
  <c r="O36" i="11"/>
  <c r="O142" i="46"/>
  <c r="P142" i="46" s="1"/>
  <c r="X40" i="17"/>
  <c r="N44" i="11"/>
  <c r="J17" i="9"/>
  <c r="J22" i="9" s="1"/>
  <c r="W36" i="17"/>
  <c r="W73" i="17"/>
  <c r="Q142" i="58"/>
  <c r="L143" i="58"/>
  <c r="O143" i="58" s="1"/>
  <c r="P128" i="58"/>
  <c r="Q128" i="58"/>
  <c r="R128" i="58" s="1"/>
  <c r="P132" i="58"/>
  <c r="Q132" i="58"/>
  <c r="R132" i="58" s="1"/>
  <c r="Q125" i="58"/>
  <c r="P125" i="58"/>
  <c r="Q129" i="58"/>
  <c r="R129" i="58" s="1"/>
  <c r="P129" i="58"/>
  <c r="I107" i="58"/>
  <c r="O119" i="58"/>
  <c r="P134" i="58"/>
  <c r="Q134" i="58"/>
  <c r="R134" i="58" s="1"/>
  <c r="Q127" i="58"/>
  <c r="P127" i="58"/>
  <c r="O113" i="58"/>
  <c r="I101" i="58"/>
  <c r="I105" i="58"/>
  <c r="O117" i="58"/>
  <c r="O121" i="58"/>
  <c r="I109" i="58"/>
  <c r="P131" i="58"/>
  <c r="Q131" i="58"/>
  <c r="R131" i="58" s="1"/>
  <c r="I110" i="58"/>
  <c r="O122" i="58"/>
  <c r="I103" i="58"/>
  <c r="O115" i="58"/>
  <c r="P130" i="58"/>
  <c r="Q130" i="58"/>
  <c r="R130" i="58" s="1"/>
  <c r="P124" i="58"/>
  <c r="Q124" i="58"/>
  <c r="P126" i="58"/>
  <c r="Q126" i="58"/>
  <c r="P133" i="58"/>
  <c r="Q133" i="58"/>
  <c r="R133" i="58" s="1"/>
  <c r="O116" i="58"/>
  <c r="I104" i="58"/>
  <c r="O120" i="58"/>
  <c r="I108" i="58"/>
  <c r="I106" i="58"/>
  <c r="O118" i="58"/>
  <c r="I100" i="58"/>
  <c r="O112" i="58"/>
  <c r="O114" i="58"/>
  <c r="I102" i="58"/>
  <c r="Q123" i="58"/>
  <c r="P176" i="58"/>
  <c r="P123" i="58"/>
  <c r="I99" i="58"/>
  <c r="O111" i="58"/>
  <c r="R159" i="45"/>
  <c r="AH93" i="45"/>
  <c r="L143" i="46"/>
  <c r="O143" i="46" s="1"/>
  <c r="J143" i="22"/>
  <c r="M143" i="22" s="1"/>
  <c r="E69" i="17"/>
  <c r="L143" i="45"/>
  <c r="O143" i="45" s="1"/>
  <c r="J143" i="37"/>
  <c r="M143" i="37" s="1"/>
  <c r="O142" i="37"/>
  <c r="N142" i="37"/>
  <c r="P142" i="45"/>
  <c r="Q142" i="45"/>
  <c r="L144" i="59" l="1"/>
  <c r="O144" i="59" s="1"/>
  <c r="P144" i="59" s="1"/>
  <c r="P143" i="59"/>
  <c r="W74" i="17"/>
  <c r="N45" i="11"/>
  <c r="L144" i="58"/>
  <c r="O144" i="58" s="1"/>
  <c r="Q143" i="58"/>
  <c r="P143" i="58"/>
  <c r="R176" i="58"/>
  <c r="O102" i="58"/>
  <c r="I90" i="58"/>
  <c r="Q118" i="58"/>
  <c r="P118" i="58"/>
  <c r="I96" i="58"/>
  <c r="O108" i="58"/>
  <c r="R126" i="58"/>
  <c r="P115" i="58"/>
  <c r="Q115" i="58"/>
  <c r="Q122" i="58"/>
  <c r="P122" i="58"/>
  <c r="I97" i="58"/>
  <c r="O109" i="58"/>
  <c r="Q117" i="58"/>
  <c r="P117" i="58"/>
  <c r="Q114" i="58"/>
  <c r="P114" i="58"/>
  <c r="I94" i="58"/>
  <c r="O106" i="58"/>
  <c r="P120" i="58"/>
  <c r="Q120" i="58"/>
  <c r="I91" i="58"/>
  <c r="O103" i="58"/>
  <c r="I98" i="58"/>
  <c r="O110" i="58"/>
  <c r="P121" i="58"/>
  <c r="Q121" i="58"/>
  <c r="I93" i="58"/>
  <c r="O105" i="58"/>
  <c r="R127" i="58"/>
  <c r="P112" i="58"/>
  <c r="Q112" i="58"/>
  <c r="I92" i="58"/>
  <c r="O104" i="58"/>
  <c r="R124" i="58"/>
  <c r="I89" i="58"/>
  <c r="O101" i="58"/>
  <c r="P119" i="58"/>
  <c r="Q119" i="58"/>
  <c r="I88" i="58"/>
  <c r="O100" i="58"/>
  <c r="Q116" i="58"/>
  <c r="P116" i="58"/>
  <c r="Q113" i="58"/>
  <c r="P113" i="58"/>
  <c r="I95" i="58"/>
  <c r="O107" i="58"/>
  <c r="R125" i="58"/>
  <c r="P175" i="58"/>
  <c r="P111" i="58"/>
  <c r="Q111" i="58"/>
  <c r="I87" i="58"/>
  <c r="O99" i="58"/>
  <c r="R123" i="58"/>
  <c r="N143" i="22"/>
  <c r="P143" i="46"/>
  <c r="J144" i="22"/>
  <c r="M144" i="22" s="1"/>
  <c r="N144" i="22" s="1"/>
  <c r="L144" i="46"/>
  <c r="N143" i="37"/>
  <c r="O143" i="37"/>
  <c r="P143" i="45"/>
  <c r="Q143" i="45"/>
  <c r="E70" i="17"/>
  <c r="L144" i="45"/>
  <c r="O144" i="45" s="1"/>
  <c r="J144" i="37"/>
  <c r="M144" i="37" s="1"/>
  <c r="L145" i="59" l="1"/>
  <c r="O145" i="59" s="1"/>
  <c r="O144" i="46"/>
  <c r="P144" i="46" s="1"/>
  <c r="W75" i="17"/>
  <c r="L145" i="58"/>
  <c r="O145" i="58" s="1"/>
  <c r="Q144" i="58"/>
  <c r="P144" i="58"/>
  <c r="R175" i="58"/>
  <c r="P107" i="58"/>
  <c r="Q107" i="58"/>
  <c r="P100" i="58"/>
  <c r="Q100" i="58"/>
  <c r="R119" i="58"/>
  <c r="P105" i="58"/>
  <c r="Q105" i="58"/>
  <c r="Q106" i="58"/>
  <c r="P106" i="58"/>
  <c r="R115" i="58"/>
  <c r="I83" i="58"/>
  <c r="O95" i="58"/>
  <c r="R113" i="58"/>
  <c r="R116" i="58"/>
  <c r="I76" i="58"/>
  <c r="O88" i="58"/>
  <c r="I81" i="58"/>
  <c r="O93" i="58"/>
  <c r="I82" i="58"/>
  <c r="O94" i="58"/>
  <c r="R117" i="58"/>
  <c r="R122" i="58"/>
  <c r="R118" i="58"/>
  <c r="Q101" i="58"/>
  <c r="P101" i="58"/>
  <c r="Q104" i="58"/>
  <c r="P104" i="58"/>
  <c r="R112" i="58"/>
  <c r="R121" i="58"/>
  <c r="Q110" i="58"/>
  <c r="P110" i="58"/>
  <c r="Q103" i="58"/>
  <c r="P103" i="58"/>
  <c r="R120" i="58"/>
  <c r="Q109" i="58"/>
  <c r="P109" i="58"/>
  <c r="Q108" i="58"/>
  <c r="P108" i="58"/>
  <c r="O90" i="58"/>
  <c r="I78" i="58"/>
  <c r="I77" i="58"/>
  <c r="O89" i="58"/>
  <c r="I80" i="58"/>
  <c r="O92" i="58"/>
  <c r="O98" i="58"/>
  <c r="I86" i="58"/>
  <c r="I79" i="58"/>
  <c r="O91" i="58"/>
  <c r="R114" i="58"/>
  <c r="O97" i="58"/>
  <c r="I85" i="58"/>
  <c r="I84" i="58"/>
  <c r="O96" i="58"/>
  <c r="P102" i="58"/>
  <c r="Q102" i="58"/>
  <c r="I75" i="58"/>
  <c r="O87" i="58"/>
  <c r="R111" i="58"/>
  <c r="Q99" i="58"/>
  <c r="P174" i="58"/>
  <c r="P99" i="58"/>
  <c r="L145" i="46"/>
  <c r="J145" i="22"/>
  <c r="M145" i="22" s="1"/>
  <c r="N145" i="22" s="1"/>
  <c r="Q144" i="45"/>
  <c r="P144" i="45"/>
  <c r="E71" i="17"/>
  <c r="L145" i="45"/>
  <c r="O145" i="45" s="1"/>
  <c r="J145" i="37"/>
  <c r="M145" i="37" s="1"/>
  <c r="N144" i="37"/>
  <c r="O144" i="37"/>
  <c r="P145" i="59" l="1"/>
  <c r="H32" i="17"/>
  <c r="H40" i="17" s="1"/>
  <c r="N19" i="11" s="1"/>
  <c r="L146" i="59"/>
  <c r="O146" i="59" s="1"/>
  <c r="P146" i="59" s="1"/>
  <c r="O145" i="46"/>
  <c r="P145" i="46" s="1"/>
  <c r="W76" i="17"/>
  <c r="L146" i="58"/>
  <c r="O146" i="58" s="1"/>
  <c r="P177" i="58" s="1"/>
  <c r="Q145" i="58"/>
  <c r="P145" i="58"/>
  <c r="R174" i="58"/>
  <c r="P96" i="58"/>
  <c r="Q96" i="58"/>
  <c r="I74" i="58"/>
  <c r="O86" i="58"/>
  <c r="Q90" i="58"/>
  <c r="P90" i="58"/>
  <c r="R104" i="58"/>
  <c r="I73" i="58"/>
  <c r="O85" i="58"/>
  <c r="P91" i="58"/>
  <c r="Q91" i="58"/>
  <c r="Q93" i="58"/>
  <c r="P93" i="58"/>
  <c r="P88" i="58"/>
  <c r="Q88" i="58"/>
  <c r="R107" i="58"/>
  <c r="I72" i="58"/>
  <c r="O84" i="58"/>
  <c r="P98" i="58"/>
  <c r="Q98" i="58"/>
  <c r="R103" i="58"/>
  <c r="I70" i="58"/>
  <c r="O82" i="58"/>
  <c r="I71" i="58"/>
  <c r="O83" i="58"/>
  <c r="R102" i="58"/>
  <c r="Q92" i="58"/>
  <c r="P92" i="58"/>
  <c r="Q89" i="58"/>
  <c r="P89" i="58"/>
  <c r="P97" i="58"/>
  <c r="Q97" i="58"/>
  <c r="I67" i="58"/>
  <c r="O79" i="58"/>
  <c r="I68" i="58"/>
  <c r="O80" i="58"/>
  <c r="I65" i="58"/>
  <c r="O77" i="58"/>
  <c r="R108" i="58"/>
  <c r="R109" i="58"/>
  <c r="R110" i="58"/>
  <c r="R101" i="58"/>
  <c r="O81" i="58"/>
  <c r="I69" i="58"/>
  <c r="I64" i="58"/>
  <c r="O76" i="58"/>
  <c r="R106" i="58"/>
  <c r="O78" i="58"/>
  <c r="I66" i="58"/>
  <c r="Q94" i="58"/>
  <c r="P94" i="58"/>
  <c r="P95" i="58"/>
  <c r="Q95" i="58"/>
  <c r="R105" i="58"/>
  <c r="R100" i="58"/>
  <c r="P173" i="58"/>
  <c r="P87" i="58"/>
  <c r="Q87" i="58"/>
  <c r="R99" i="58"/>
  <c r="I63" i="58"/>
  <c r="O75" i="58"/>
  <c r="L146" i="46"/>
  <c r="J146" i="22"/>
  <c r="M146" i="22" s="1"/>
  <c r="N146" i="22" s="1"/>
  <c r="P145" i="45"/>
  <c r="Q145" i="45"/>
  <c r="E72" i="17"/>
  <c r="L146" i="45"/>
  <c r="J146" i="37"/>
  <c r="M146" i="37" s="1"/>
  <c r="E32" i="17"/>
  <c r="E40" i="17" s="1"/>
  <c r="N145" i="37"/>
  <c r="O145" i="37"/>
  <c r="AB40" i="17" l="1"/>
  <c r="L147" i="59"/>
  <c r="O147" i="59" s="1"/>
  <c r="Q178" i="59"/>
  <c r="I40" i="17"/>
  <c r="H36" i="17"/>
  <c r="S178" i="59"/>
  <c r="O146" i="46"/>
  <c r="P146" i="46" s="1"/>
  <c r="W77" i="17"/>
  <c r="O146" i="45"/>
  <c r="P177" i="45" s="1"/>
  <c r="P146" i="58"/>
  <c r="R177" i="58" s="1"/>
  <c r="T177" i="58" s="1"/>
  <c r="Q146" i="58"/>
  <c r="L147" i="58"/>
  <c r="O147" i="58" s="1"/>
  <c r="R98" i="58"/>
  <c r="R88" i="58"/>
  <c r="R91" i="58"/>
  <c r="Q78" i="58"/>
  <c r="P78" i="58"/>
  <c r="Q81" i="58"/>
  <c r="P81" i="58"/>
  <c r="P76" i="58"/>
  <c r="Q76" i="58"/>
  <c r="Q80" i="58"/>
  <c r="P80" i="58"/>
  <c r="Q86" i="58"/>
  <c r="P86" i="58"/>
  <c r="I53" i="58"/>
  <c r="O65" i="58"/>
  <c r="I55" i="58"/>
  <c r="O67" i="58"/>
  <c r="R97" i="58"/>
  <c r="R89" i="58"/>
  <c r="R94" i="58"/>
  <c r="O64" i="58"/>
  <c r="I52" i="58"/>
  <c r="I56" i="58"/>
  <c r="O68" i="58"/>
  <c r="Q83" i="58"/>
  <c r="P83" i="58"/>
  <c r="P82" i="58"/>
  <c r="Q82" i="58"/>
  <c r="Q84" i="58"/>
  <c r="P84" i="58"/>
  <c r="Q85" i="58"/>
  <c r="P85" i="58"/>
  <c r="R90" i="58"/>
  <c r="I62" i="58"/>
  <c r="O74" i="58"/>
  <c r="R173" i="58"/>
  <c r="R95" i="58"/>
  <c r="O66" i="58"/>
  <c r="I54" i="58"/>
  <c r="I57" i="58"/>
  <c r="O69" i="58"/>
  <c r="P77" i="58"/>
  <c r="Q77" i="58"/>
  <c r="Q79" i="58"/>
  <c r="P79" i="58"/>
  <c r="R92" i="58"/>
  <c r="I59" i="58"/>
  <c r="O71" i="58"/>
  <c r="I58" i="58"/>
  <c r="O70" i="58"/>
  <c r="I60" i="58"/>
  <c r="O72" i="58"/>
  <c r="R93" i="58"/>
  <c r="I61" i="58"/>
  <c r="O73" i="58"/>
  <c r="R96" i="58"/>
  <c r="R87" i="58"/>
  <c r="P75" i="58"/>
  <c r="P172" i="58"/>
  <c r="Q75" i="58"/>
  <c r="I51" i="58"/>
  <c r="O63" i="58"/>
  <c r="T19" i="11"/>
  <c r="L147" i="46"/>
  <c r="O147" i="46" s="1"/>
  <c r="J147" i="22"/>
  <c r="M147" i="22" s="1"/>
  <c r="E36" i="17"/>
  <c r="Z40" i="17"/>
  <c r="N15" i="11"/>
  <c r="F40" i="17"/>
  <c r="O146" i="37"/>
  <c r="N146" i="37"/>
  <c r="E73" i="17"/>
  <c r="L147" i="45"/>
  <c r="O147" i="45" s="1"/>
  <c r="J147" i="37"/>
  <c r="M147" i="37" s="1"/>
  <c r="N53" i="11" l="1"/>
  <c r="P147" i="59"/>
  <c r="L148" i="59"/>
  <c r="O148" i="59" s="1"/>
  <c r="Q146" i="45"/>
  <c r="W78" i="17"/>
  <c r="P146" i="45"/>
  <c r="L148" i="58"/>
  <c r="O148" i="58" s="1"/>
  <c r="Q147" i="58"/>
  <c r="P147" i="58"/>
  <c r="R172" i="58"/>
  <c r="R84" i="58"/>
  <c r="O56" i="58"/>
  <c r="I44" i="58"/>
  <c r="P64" i="58"/>
  <c r="Q64" i="58"/>
  <c r="I49" i="58"/>
  <c r="O61" i="58"/>
  <c r="O60" i="58"/>
  <c r="I48" i="58"/>
  <c r="I47" i="58"/>
  <c r="O59" i="58"/>
  <c r="R79" i="58"/>
  <c r="Q66" i="58"/>
  <c r="P66" i="58"/>
  <c r="O62" i="58"/>
  <c r="I50" i="58"/>
  <c r="R85" i="58"/>
  <c r="R83" i="58"/>
  <c r="I41" i="58"/>
  <c r="O53" i="58"/>
  <c r="R86" i="58"/>
  <c r="R80" i="58"/>
  <c r="P70" i="58"/>
  <c r="Q70" i="58"/>
  <c r="R77" i="58"/>
  <c r="Q69" i="58"/>
  <c r="P69" i="58"/>
  <c r="R82" i="58"/>
  <c r="P68" i="58"/>
  <c r="Q68" i="58"/>
  <c r="O52" i="58"/>
  <c r="I40" i="58"/>
  <c r="Q67" i="58"/>
  <c r="P67" i="58"/>
  <c r="R76" i="58"/>
  <c r="R78" i="58"/>
  <c r="I43" i="58"/>
  <c r="O55" i="58"/>
  <c r="O58" i="58"/>
  <c r="I46" i="58"/>
  <c r="I45" i="58"/>
  <c r="O57" i="58"/>
  <c r="P73" i="58"/>
  <c r="Q73" i="58"/>
  <c r="P72" i="58"/>
  <c r="Q72" i="58"/>
  <c r="Q71" i="58"/>
  <c r="P71" i="58"/>
  <c r="I42" i="58"/>
  <c r="O54" i="58"/>
  <c r="P74" i="58"/>
  <c r="Q74" i="58"/>
  <c r="Q65" i="58"/>
  <c r="P65" i="58"/>
  <c r="R81" i="58"/>
  <c r="Q63" i="58"/>
  <c r="P63" i="58"/>
  <c r="P171" i="58"/>
  <c r="R75" i="58"/>
  <c r="O51" i="58"/>
  <c r="I39" i="58"/>
  <c r="P147" i="46"/>
  <c r="J148" i="22"/>
  <c r="M148" i="22" s="1"/>
  <c r="N148" i="22" s="1"/>
  <c r="L148" i="46"/>
  <c r="N147" i="22"/>
  <c r="N147" i="37"/>
  <c r="O147" i="37"/>
  <c r="Q147" i="45"/>
  <c r="P147" i="45"/>
  <c r="N63" i="11"/>
  <c r="N64" i="11" s="1"/>
  <c r="N48" i="11"/>
  <c r="E74" i="17"/>
  <c r="L148" i="45"/>
  <c r="O148" i="45" s="1"/>
  <c r="J148" i="37"/>
  <c r="M148" i="37" s="1"/>
  <c r="L149" i="59" l="1"/>
  <c r="O149" i="59" s="1"/>
  <c r="P148" i="59"/>
  <c r="O148" i="46"/>
  <c r="P148" i="46" s="1"/>
  <c r="W79" i="17"/>
  <c r="L149" i="58"/>
  <c r="O149" i="58" s="1"/>
  <c r="P148" i="58"/>
  <c r="Q148" i="58"/>
  <c r="R171" i="58"/>
  <c r="R74" i="58"/>
  <c r="Q54" i="58"/>
  <c r="P54" i="58"/>
  <c r="R72" i="58"/>
  <c r="Q57" i="58"/>
  <c r="P57" i="58"/>
  <c r="R70" i="58"/>
  <c r="O50" i="58"/>
  <c r="I38" i="58"/>
  <c r="Q59" i="58"/>
  <c r="P59" i="58"/>
  <c r="Q61" i="58"/>
  <c r="P61" i="58"/>
  <c r="I32" i="58"/>
  <c r="O44" i="58"/>
  <c r="R68" i="58"/>
  <c r="O42" i="58"/>
  <c r="I30" i="58"/>
  <c r="I33" i="58"/>
  <c r="O45" i="58"/>
  <c r="R67" i="58"/>
  <c r="Q62" i="58"/>
  <c r="P62" i="58"/>
  <c r="O47" i="58"/>
  <c r="I35" i="58"/>
  <c r="I37" i="58"/>
  <c r="O49" i="58"/>
  <c r="P56" i="58"/>
  <c r="Q56" i="58"/>
  <c r="I34" i="58"/>
  <c r="O46" i="58"/>
  <c r="Q55" i="58"/>
  <c r="P55" i="58"/>
  <c r="I28" i="58"/>
  <c r="O40" i="58"/>
  <c r="Q53" i="58"/>
  <c r="P53" i="58"/>
  <c r="I36" i="58"/>
  <c r="O48" i="58"/>
  <c r="R64" i="58"/>
  <c r="R73" i="58"/>
  <c r="R65" i="58"/>
  <c r="R71" i="58"/>
  <c r="P58" i="58"/>
  <c r="Q58" i="58"/>
  <c r="I31" i="58"/>
  <c r="O43" i="58"/>
  <c r="P52" i="58"/>
  <c r="Q52" i="58"/>
  <c r="R69" i="58"/>
  <c r="I29" i="58"/>
  <c r="O41" i="58"/>
  <c r="R66" i="58"/>
  <c r="P60" i="58"/>
  <c r="Q60" i="58"/>
  <c r="O39" i="58"/>
  <c r="I27" i="58"/>
  <c r="P51" i="58"/>
  <c r="P170" i="58"/>
  <c r="Q51" i="58"/>
  <c r="R63" i="58"/>
  <c r="L149" i="46"/>
  <c r="O149" i="46" s="1"/>
  <c r="J149" i="22"/>
  <c r="M149" i="22" s="1"/>
  <c r="O148" i="37"/>
  <c r="N148" i="37"/>
  <c r="N59" i="11"/>
  <c r="P148" i="45"/>
  <c r="Q148" i="45"/>
  <c r="E75" i="17"/>
  <c r="L149" i="45"/>
  <c r="O149" i="45" s="1"/>
  <c r="J149" i="37"/>
  <c r="M149" i="37" s="1"/>
  <c r="L150" i="59" l="1"/>
  <c r="O150" i="59" s="1"/>
  <c r="P149" i="59"/>
  <c r="W80" i="17"/>
  <c r="Q149" i="58"/>
  <c r="P149" i="58"/>
  <c r="L150" i="58"/>
  <c r="O150" i="58" s="1"/>
  <c r="R170" i="58"/>
  <c r="Q43" i="58"/>
  <c r="P43" i="58"/>
  <c r="R58" i="58"/>
  <c r="R60" i="58"/>
  <c r="Q41" i="58"/>
  <c r="P41" i="58"/>
  <c r="R52" i="58"/>
  <c r="I17" i="58"/>
  <c r="O29" i="58"/>
  <c r="I24" i="58"/>
  <c r="O36" i="58"/>
  <c r="R55" i="58"/>
  <c r="O34" i="58"/>
  <c r="I22" i="58"/>
  <c r="I25" i="58"/>
  <c r="O37" i="58"/>
  <c r="I26" i="58"/>
  <c r="O38" i="58"/>
  <c r="Q40" i="58"/>
  <c r="P40" i="58"/>
  <c r="R56" i="58"/>
  <c r="I23" i="58"/>
  <c r="O35" i="58"/>
  <c r="Q45" i="58"/>
  <c r="P45" i="58"/>
  <c r="I18" i="58"/>
  <c r="O30" i="58"/>
  <c r="R61" i="58"/>
  <c r="Q50" i="58"/>
  <c r="P50" i="58"/>
  <c r="R54" i="58"/>
  <c r="I19" i="58"/>
  <c r="O31" i="58"/>
  <c r="R53" i="58"/>
  <c r="I16" i="58"/>
  <c r="O28" i="58"/>
  <c r="Q47" i="58"/>
  <c r="P47" i="58"/>
  <c r="R62" i="58"/>
  <c r="I21" i="58"/>
  <c r="O33" i="58"/>
  <c r="Q42" i="58"/>
  <c r="P42" i="58"/>
  <c r="Q44" i="58"/>
  <c r="P44" i="58"/>
  <c r="P48" i="58"/>
  <c r="Q48" i="58"/>
  <c r="Q46" i="58"/>
  <c r="P46" i="58"/>
  <c r="Q49" i="58"/>
  <c r="P49" i="58"/>
  <c r="I20" i="58"/>
  <c r="O32" i="58"/>
  <c r="R59" i="58"/>
  <c r="R57" i="58"/>
  <c r="P169" i="58"/>
  <c r="Q39" i="58"/>
  <c r="P39" i="58"/>
  <c r="R51" i="58"/>
  <c r="I15" i="58"/>
  <c r="O27" i="58"/>
  <c r="N149" i="22"/>
  <c r="P149" i="46"/>
  <c r="L150" i="46"/>
  <c r="J150" i="22"/>
  <c r="M150" i="22" s="1"/>
  <c r="N150" i="22" s="1"/>
  <c r="N149" i="37"/>
  <c r="O149" i="37"/>
  <c r="E76" i="17"/>
  <c r="L150" i="45"/>
  <c r="O150" i="45" s="1"/>
  <c r="J150" i="37"/>
  <c r="M150" i="37" s="1"/>
  <c r="P149" i="45"/>
  <c r="Q149" i="45"/>
  <c r="L151" i="59" l="1"/>
  <c r="O151" i="59" s="1"/>
  <c r="P150" i="59"/>
  <c r="O150" i="46"/>
  <c r="P150" i="46" s="1"/>
  <c r="W81" i="17"/>
  <c r="L151" i="58"/>
  <c r="O151" i="58" s="1"/>
  <c r="P150" i="58"/>
  <c r="Q150" i="58"/>
  <c r="R169" i="58"/>
  <c r="R49" i="58"/>
  <c r="R46" i="58"/>
  <c r="P38" i="58"/>
  <c r="Q38" i="58"/>
  <c r="P37" i="58"/>
  <c r="Q37" i="58"/>
  <c r="I10" i="58"/>
  <c r="O10" i="58" s="1"/>
  <c r="O22" i="58"/>
  <c r="Q36" i="58"/>
  <c r="P36" i="58"/>
  <c r="Q31" i="58"/>
  <c r="P31" i="58"/>
  <c r="P28" i="58"/>
  <c r="Q28" i="58"/>
  <c r="Q30" i="58"/>
  <c r="P30" i="58"/>
  <c r="P35" i="58"/>
  <c r="Q35" i="58"/>
  <c r="Q32" i="58"/>
  <c r="P32" i="58"/>
  <c r="R42" i="58"/>
  <c r="I4" i="58"/>
  <c r="O4" i="58" s="1"/>
  <c r="O16" i="58"/>
  <c r="R50" i="58"/>
  <c r="I6" i="58"/>
  <c r="O6" i="58" s="1"/>
  <c r="O18" i="58"/>
  <c r="O23" i="58"/>
  <c r="I11" i="58"/>
  <c r="O11" i="58" s="1"/>
  <c r="I14" i="58"/>
  <c r="O14" i="58" s="1"/>
  <c r="O26" i="58"/>
  <c r="O25" i="58"/>
  <c r="I13" i="58"/>
  <c r="O13" i="58" s="1"/>
  <c r="Q34" i="58"/>
  <c r="P34" i="58"/>
  <c r="I12" i="58"/>
  <c r="O12" i="58" s="1"/>
  <c r="O24" i="58"/>
  <c r="R41" i="58"/>
  <c r="R43" i="58"/>
  <c r="Q33" i="58"/>
  <c r="P33" i="58"/>
  <c r="P29" i="58"/>
  <c r="Q29" i="58"/>
  <c r="O20" i="58"/>
  <c r="I8" i="58"/>
  <c r="O8" i="58" s="1"/>
  <c r="R48" i="58"/>
  <c r="R44" i="58"/>
  <c r="O21" i="58"/>
  <c r="I9" i="58"/>
  <c r="O9" i="58" s="1"/>
  <c r="R47" i="58"/>
  <c r="I7" i="58"/>
  <c r="O7" i="58" s="1"/>
  <c r="O19" i="58"/>
  <c r="R45" i="58"/>
  <c r="R40" i="58"/>
  <c r="I5" i="58"/>
  <c r="O5" i="58" s="1"/>
  <c r="O17" i="58"/>
  <c r="P27" i="58"/>
  <c r="P168" i="58"/>
  <c r="Q27" i="58"/>
  <c r="R39" i="58"/>
  <c r="I3" i="58"/>
  <c r="O3" i="58" s="1"/>
  <c r="O15" i="58"/>
  <c r="L151" i="46"/>
  <c r="J151" i="22"/>
  <c r="M151" i="22" s="1"/>
  <c r="N151" i="22" s="1"/>
  <c r="Q150" i="45"/>
  <c r="P150" i="45"/>
  <c r="E77" i="17"/>
  <c r="L151" i="45"/>
  <c r="O151" i="45" s="1"/>
  <c r="J151" i="37"/>
  <c r="M151" i="37" s="1"/>
  <c r="N150" i="37"/>
  <c r="O150" i="37"/>
  <c r="L152" i="59" l="1"/>
  <c r="O152" i="59" s="1"/>
  <c r="P152" i="59" s="1"/>
  <c r="P151" i="59"/>
  <c r="O151" i="46"/>
  <c r="P151" i="46" s="1"/>
  <c r="W82" i="17"/>
  <c r="L152" i="58"/>
  <c r="O152" i="58" s="1"/>
  <c r="P151" i="58"/>
  <c r="Q151" i="58"/>
  <c r="R168" i="58"/>
  <c r="Q24" i="58"/>
  <c r="P24" i="58"/>
  <c r="P26" i="58"/>
  <c r="Q26" i="58"/>
  <c r="Q18" i="58"/>
  <c r="P18" i="58"/>
  <c r="P16" i="58"/>
  <c r="Q16" i="58"/>
  <c r="R31" i="58"/>
  <c r="R36" i="58"/>
  <c r="Q10" i="58"/>
  <c r="P10" i="58"/>
  <c r="P17" i="58"/>
  <c r="Q17" i="58"/>
  <c r="Q19" i="58"/>
  <c r="P19" i="58"/>
  <c r="P12" i="58"/>
  <c r="Q12" i="58"/>
  <c r="R34" i="58"/>
  <c r="Q14" i="58"/>
  <c r="P14" i="58"/>
  <c r="Q6" i="58"/>
  <c r="P6" i="58"/>
  <c r="P4" i="58"/>
  <c r="Q4" i="58"/>
  <c r="R32" i="58"/>
  <c r="R37" i="58"/>
  <c r="P21" i="58"/>
  <c r="Q21" i="58"/>
  <c r="Q5" i="58"/>
  <c r="P5" i="58"/>
  <c r="Q7" i="58"/>
  <c r="P7" i="58"/>
  <c r="Q8" i="58"/>
  <c r="P8" i="58"/>
  <c r="R29" i="58"/>
  <c r="Q13" i="58"/>
  <c r="P13" i="58"/>
  <c r="Q11" i="58"/>
  <c r="P11" i="58"/>
  <c r="R30" i="58"/>
  <c r="Q9" i="58"/>
  <c r="P9" i="58"/>
  <c r="P20" i="58"/>
  <c r="Q20" i="58"/>
  <c r="R33" i="58"/>
  <c r="Q25" i="58"/>
  <c r="P25" i="58"/>
  <c r="P23" i="58"/>
  <c r="Q23" i="58"/>
  <c r="R35" i="58"/>
  <c r="R28" i="58"/>
  <c r="Q22" i="58"/>
  <c r="P22" i="58"/>
  <c r="R38" i="58"/>
  <c r="P167" i="58"/>
  <c r="Q15" i="58"/>
  <c r="P15" i="58"/>
  <c r="Q3" i="58"/>
  <c r="P3" i="58"/>
  <c r="P166" i="58"/>
  <c r="R27" i="58"/>
  <c r="J152" i="22"/>
  <c r="M152" i="22" s="1"/>
  <c r="N152" i="22" s="1"/>
  <c r="L152" i="46"/>
  <c r="P151" i="45"/>
  <c r="Q151" i="45"/>
  <c r="N151" i="37"/>
  <c r="O151" i="37"/>
  <c r="E78" i="17"/>
  <c r="L152" i="45"/>
  <c r="O152" i="45" s="1"/>
  <c r="J152" i="37"/>
  <c r="M152" i="37" s="1"/>
  <c r="L153" i="59" l="1"/>
  <c r="O153" i="59" s="1"/>
  <c r="O152" i="46"/>
  <c r="P152" i="46" s="1"/>
  <c r="W83" i="17"/>
  <c r="L153" i="58"/>
  <c r="O153" i="58" s="1"/>
  <c r="Q152" i="58"/>
  <c r="P152" i="58"/>
  <c r="R166" i="58"/>
  <c r="R12" i="58"/>
  <c r="R16" i="58"/>
  <c r="R23" i="58"/>
  <c r="R20" i="58"/>
  <c r="R167" i="58"/>
  <c r="R22" i="58"/>
  <c r="R13" i="58"/>
  <c r="R7" i="58"/>
  <c r="R5" i="58"/>
  <c r="R14" i="58"/>
  <c r="R10" i="58"/>
  <c r="R18" i="58"/>
  <c r="R24" i="58"/>
  <c r="R21" i="58"/>
  <c r="R4" i="58"/>
  <c r="R17" i="58"/>
  <c r="R26" i="58"/>
  <c r="R25" i="58"/>
  <c r="R9" i="58"/>
  <c r="R11" i="58"/>
  <c r="R8" i="58"/>
  <c r="R6" i="58"/>
  <c r="R19" i="58"/>
  <c r="R15" i="58"/>
  <c r="R3" i="58"/>
  <c r="L153" i="46"/>
  <c r="O153" i="46" s="1"/>
  <c r="J153" i="22"/>
  <c r="M153" i="22" s="1"/>
  <c r="N152" i="37"/>
  <c r="O152" i="37"/>
  <c r="P152" i="45"/>
  <c r="Q152" i="45"/>
  <c r="E79" i="17"/>
  <c r="L153" i="45"/>
  <c r="O153" i="45" s="1"/>
  <c r="J153" i="37"/>
  <c r="M153" i="37" s="1"/>
  <c r="L154" i="59" l="1"/>
  <c r="O154" i="59" s="1"/>
  <c r="P154" i="59" s="1"/>
  <c r="P153" i="59"/>
  <c r="W33" i="17"/>
  <c r="W41" i="17" s="1"/>
  <c r="P153" i="58"/>
  <c r="Q153" i="58"/>
  <c r="L154" i="58"/>
  <c r="O154" i="58" s="1"/>
  <c r="N153" i="22"/>
  <c r="P153" i="46"/>
  <c r="L154" i="46"/>
  <c r="J154" i="22"/>
  <c r="M154" i="22" s="1"/>
  <c r="N154" i="22" s="1"/>
  <c r="E80" i="17"/>
  <c r="L154" i="45"/>
  <c r="O154" i="45" s="1"/>
  <c r="J154" i="37"/>
  <c r="M154" i="37" s="1"/>
  <c r="Q153" i="45"/>
  <c r="P153" i="45"/>
  <c r="N153" i="37"/>
  <c r="O153" i="37"/>
  <c r="L155" i="59" l="1"/>
  <c r="O155" i="59" s="1"/>
  <c r="O154" i="46"/>
  <c r="P154" i="46" s="1"/>
  <c r="X41" i="17"/>
  <c r="O44" i="11"/>
  <c r="J18" i="9"/>
  <c r="W37" i="17"/>
  <c r="P154" i="58"/>
  <c r="Q154" i="58"/>
  <c r="L155" i="58"/>
  <c r="O155" i="58" s="1"/>
  <c r="L155" i="46"/>
  <c r="J155" i="22"/>
  <c r="M155" i="22" s="1"/>
  <c r="N155" i="22" s="1"/>
  <c r="N154" i="37"/>
  <c r="O154" i="37"/>
  <c r="Q154" i="45"/>
  <c r="P154" i="45"/>
  <c r="E81" i="17"/>
  <c r="L155" i="45"/>
  <c r="O155" i="45" s="1"/>
  <c r="J155" i="37"/>
  <c r="M155" i="37" s="1"/>
  <c r="L156" i="59" l="1"/>
  <c r="O156" i="59" s="1"/>
  <c r="P156" i="59" s="1"/>
  <c r="P155" i="59"/>
  <c r="O155" i="46"/>
  <c r="P155" i="46" s="1"/>
  <c r="J23" i="9"/>
  <c r="P155" i="58"/>
  <c r="Q155" i="58"/>
  <c r="L156" i="58"/>
  <c r="O156" i="58" s="1"/>
  <c r="J156" i="22"/>
  <c r="M156" i="22" s="1"/>
  <c r="N156" i="22" s="1"/>
  <c r="L156" i="46"/>
  <c r="N155" i="37"/>
  <c r="O155" i="37"/>
  <c r="Q155" i="45"/>
  <c r="P155" i="45"/>
  <c r="E82" i="17"/>
  <c r="L156" i="45"/>
  <c r="O156" i="45" s="1"/>
  <c r="J156" i="37"/>
  <c r="M156" i="37" s="1"/>
  <c r="L157" i="59" l="1"/>
  <c r="O157" i="59" s="1"/>
  <c r="P157" i="59" s="1"/>
  <c r="O156" i="46"/>
  <c r="P156" i="46" s="1"/>
  <c r="O45" i="11"/>
  <c r="L157" i="58"/>
  <c r="O157" i="58" s="1"/>
  <c r="P156" i="58"/>
  <c r="Q156" i="58"/>
  <c r="L157" i="46"/>
  <c r="J157" i="22"/>
  <c r="M157" i="22" s="1"/>
  <c r="N157" i="22" s="1"/>
  <c r="O156" i="37"/>
  <c r="N156" i="37"/>
  <c r="E83" i="17"/>
  <c r="L157" i="45"/>
  <c r="O157" i="45" s="1"/>
  <c r="J157" i="37"/>
  <c r="M157" i="37" s="1"/>
  <c r="Q156" i="45"/>
  <c r="P156" i="45"/>
  <c r="L158" i="59" l="1"/>
  <c r="O158" i="59" s="1"/>
  <c r="O157" i="46"/>
  <c r="P157" i="46" s="1"/>
  <c r="Q157" i="58"/>
  <c r="P157" i="58"/>
  <c r="L158" i="58"/>
  <c r="O158" i="58" s="1"/>
  <c r="L158" i="46"/>
  <c r="O158" i="46" s="1"/>
  <c r="J158" i="22"/>
  <c r="M158" i="22" s="1"/>
  <c r="H33" i="17"/>
  <c r="H41" i="17" s="1"/>
  <c r="P157" i="45"/>
  <c r="Q157" i="45"/>
  <c r="L158" i="45"/>
  <c r="O158" i="45" s="1"/>
  <c r="J158" i="37"/>
  <c r="M158" i="37" s="1"/>
  <c r="E33" i="17"/>
  <c r="E41" i="17" s="1"/>
  <c r="N157" i="37"/>
  <c r="O157" i="37"/>
  <c r="AB41" i="17" l="1"/>
  <c r="P158" i="59"/>
  <c r="S179" i="59" s="1"/>
  <c r="O164" i="59"/>
  <c r="Q179" i="59" s="1"/>
  <c r="Q158" i="58"/>
  <c r="P158" i="58"/>
  <c r="P178" i="58"/>
  <c r="H37" i="17"/>
  <c r="O19" i="11"/>
  <c r="I41" i="17"/>
  <c r="N158" i="22"/>
  <c r="P158" i="46"/>
  <c r="O164" i="46"/>
  <c r="N158" i="37"/>
  <c r="O158" i="37"/>
  <c r="Q158" i="45"/>
  <c r="P158" i="45"/>
  <c r="P178" i="45"/>
  <c r="E37" i="17"/>
  <c r="Z41" i="17"/>
  <c r="O15" i="11"/>
  <c r="F41" i="17"/>
  <c r="R178" i="58" l="1"/>
  <c r="O53" i="11"/>
  <c r="Q178" i="22"/>
  <c r="Q179" i="22"/>
  <c r="Q178" i="46"/>
  <c r="Q179" i="46"/>
  <c r="S178" i="46"/>
  <c r="S179" i="46"/>
  <c r="O178" i="22"/>
  <c r="O179" i="22"/>
  <c r="O48" i="11"/>
  <c r="O63" i="11"/>
  <c r="O64" i="11" s="1"/>
  <c r="R166" i="45"/>
  <c r="R177" i="45"/>
  <c r="R178" i="45"/>
  <c r="E18" i="9" l="1"/>
  <c r="E39" i="9" s="1"/>
  <c r="E17" i="9"/>
  <c r="O59" i="11"/>
  <c r="B13" i="18" l="1"/>
  <c r="G13" i="18" s="1"/>
  <c r="E23" i="9"/>
  <c r="E38" i="9"/>
  <c r="E22" i="9"/>
  <c r="B14" i="18"/>
  <c r="G14" i="18" s="1"/>
  <c r="U179" i="59" l="1"/>
  <c r="U178" i="59"/>
  <c r="O20" i="11"/>
  <c r="B18" i="18"/>
  <c r="N20" i="11"/>
  <c r="B17" i="18"/>
  <c r="G17" i="18" l="1"/>
  <c r="O21" i="11"/>
  <c r="G18" i="18"/>
  <c r="N21" i="11"/>
  <c r="T20" i="11"/>
  <c r="O55" i="11" l="1"/>
  <c r="N55" i="11"/>
  <c r="O50" i="11"/>
  <c r="N50" i="11"/>
  <c r="T21" i="11"/>
  <c r="O20" i="37"/>
  <c r="P20" i="37" s="1"/>
  <c r="O13" i="37"/>
  <c r="P13" i="37" s="1"/>
  <c r="O12" i="37"/>
  <c r="O17" i="37"/>
  <c r="O6" i="37"/>
  <c r="O15" i="37"/>
  <c r="O9" i="37"/>
  <c r="O16" i="37"/>
  <c r="P16" i="37" s="1"/>
  <c r="O18" i="37"/>
  <c r="P18" i="37" s="1"/>
  <c r="O14" i="37"/>
  <c r="O10" i="37"/>
  <c r="O7" i="37"/>
  <c r="P7" i="37" s="1"/>
  <c r="O5" i="37"/>
  <c r="P5" i="37" s="1"/>
  <c r="O4" i="37"/>
  <c r="P4" i="37" s="1"/>
  <c r="O11" i="37"/>
  <c r="O19" i="37"/>
  <c r="P19" i="37" s="1"/>
  <c r="O8" i="37"/>
  <c r="O61" i="11" l="1"/>
  <c r="N61" i="11"/>
  <c r="P11" i="37"/>
  <c r="P10" i="37"/>
  <c r="P9" i="37"/>
  <c r="P12" i="37"/>
  <c r="P14" i="37"/>
  <c r="P15" i="37"/>
  <c r="P8" i="37"/>
  <c r="P6" i="37"/>
  <c r="P17" i="37"/>
  <c r="M163" i="37"/>
  <c r="O24" i="37"/>
  <c r="O23" i="37"/>
  <c r="P23" i="37" s="1"/>
  <c r="O22" i="37"/>
  <c r="O25" i="37"/>
  <c r="P25" i="37" s="1"/>
  <c r="O21" i="37"/>
  <c r="P21" i="37" s="1"/>
  <c r="N177" i="37" l="1"/>
  <c r="N178" i="37"/>
  <c r="P22" i="37"/>
  <c r="P24" i="37"/>
  <c r="P159" i="37" l="1"/>
  <c r="P177" i="37"/>
  <c r="P178" i="37"/>
  <c r="D18" i="9" l="1"/>
  <c r="B18" i="9" s="1"/>
  <c r="D17" i="9"/>
  <c r="D22" i="9" s="1"/>
  <c r="T178" i="58" l="1"/>
  <c r="D23" i="9"/>
  <c r="D39" i="9"/>
  <c r="B17" i="9"/>
  <c r="D38" i="9"/>
  <c r="B22" i="9"/>
  <c r="N16" i="11"/>
  <c r="B23" i="9" l="1"/>
  <c r="O16" i="11"/>
  <c r="N54" i="11"/>
  <c r="N7" i="11"/>
  <c r="N49" i="11"/>
  <c r="O7" i="11" l="1"/>
  <c r="O54" i="11"/>
  <c r="O49" i="11"/>
  <c r="N60" i="11"/>
  <c r="O60" i="11" l="1"/>
</calcChain>
</file>

<file path=xl/sharedStrings.xml><?xml version="1.0" encoding="utf-8"?>
<sst xmlns="http://schemas.openxmlformats.org/spreadsheetml/2006/main" count="404" uniqueCount="134">
  <si>
    <t>GSlt50_kWh</t>
  </si>
  <si>
    <t>GSlt50_CDM</t>
  </si>
  <si>
    <t>GSlt50_NoCDM</t>
  </si>
  <si>
    <t>GS50to999_kWh</t>
  </si>
  <si>
    <t>GS50to999_CDM</t>
  </si>
  <si>
    <t>GS50to999_NoCDM</t>
  </si>
  <si>
    <t>GSlt50_count</t>
  </si>
  <si>
    <t>GS50to999_count</t>
  </si>
  <si>
    <t>MonthDays</t>
  </si>
  <si>
    <t>Trend</t>
  </si>
  <si>
    <t>Fall</t>
  </si>
  <si>
    <t>COVID</t>
  </si>
  <si>
    <t>COVID_AM</t>
  </si>
  <si>
    <t>Total</t>
  </si>
  <si>
    <t>TorontoFTEAdj</t>
  </si>
  <si>
    <t>HDD14</t>
  </si>
  <si>
    <t>CDD14</t>
  </si>
  <si>
    <t>CDD12</t>
  </si>
  <si>
    <t>HDD10</t>
  </si>
  <si>
    <t>coefficient</t>
  </si>
  <si>
    <t>std. error</t>
  </si>
  <si>
    <t>t-ratio</t>
  </si>
  <si>
    <t>p-value</t>
  </si>
  <si>
    <t>const</t>
  </si>
  <si>
    <t>Statistics based on the rho-differenced data</t>
  </si>
  <si>
    <t>Mean dependent var</t>
  </si>
  <si>
    <t>S.D. dependent var</t>
  </si>
  <si>
    <t>Sum squared resid</t>
  </si>
  <si>
    <t>S.E. of regression</t>
  </si>
  <si>
    <t>R-squared</t>
  </si>
  <si>
    <t>Adjusted R-squared</t>
  </si>
  <si>
    <t>P-value(F)</t>
  </si>
  <si>
    <t>rho</t>
  </si>
  <si>
    <t>Durbin-Watson</t>
  </si>
  <si>
    <t>Milton Hydro Weather Normal Customer Class Load Forecast for 2023 Rate Application</t>
  </si>
  <si>
    <t>Description</t>
  </si>
  <si>
    <t xml:space="preserve">2011 Actual </t>
  </si>
  <si>
    <t xml:space="preserve">2012 Actual </t>
  </si>
  <si>
    <t xml:space="preserve">2013 Actual </t>
  </si>
  <si>
    <t xml:space="preserve">2014 Actual </t>
  </si>
  <si>
    <t xml:space="preserve">2015 Actual </t>
  </si>
  <si>
    <t xml:space="preserve">2016 Actual </t>
  </si>
  <si>
    <t xml:space="preserve">2017 Actual </t>
  </si>
  <si>
    <t xml:space="preserve">2018 Actual </t>
  </si>
  <si>
    <t xml:space="preserve">2019 Actual </t>
  </si>
  <si>
    <t xml:space="preserve">2020 Actual </t>
  </si>
  <si>
    <t xml:space="preserve">2021 Actual </t>
  </si>
  <si>
    <t>2022 Bridge Year</t>
  </si>
  <si>
    <t>2023 Test Year</t>
  </si>
  <si>
    <t>Actual kWh Purchases</t>
  </si>
  <si>
    <t>Predicted kWh Purchases</t>
  </si>
  <si>
    <t>% Difference</t>
  </si>
  <si>
    <t>Total kWh</t>
  </si>
  <si>
    <t>By Class</t>
  </si>
  <si>
    <t xml:space="preserve">  Customers</t>
  </si>
  <si>
    <t xml:space="preserve">  kWh</t>
  </si>
  <si>
    <t xml:space="preserve">  kW</t>
  </si>
  <si>
    <t>General Service 1000 to 4999 kW</t>
  </si>
  <si>
    <t xml:space="preserve">  Connections</t>
  </si>
  <si>
    <t>Total of Above</t>
  </si>
  <si>
    <t xml:space="preserve">  Customer/Connections</t>
  </si>
  <si>
    <t xml:space="preserve">  kW from applicable classes</t>
  </si>
  <si>
    <t>Total from Model</t>
  </si>
  <si>
    <t>Check should all be zero</t>
  </si>
  <si>
    <t>Metered Customers</t>
  </si>
  <si>
    <t>Large User</t>
  </si>
  <si>
    <t>Sentinel Lights</t>
  </si>
  <si>
    <t>Customers</t>
  </si>
  <si>
    <t>Connections</t>
  </si>
  <si>
    <t>General Service &lt; 50 kW</t>
  </si>
  <si>
    <t>General Service 50 to 999 kW</t>
  </si>
  <si>
    <t>Used</t>
  </si>
  <si>
    <t>CDM</t>
  </si>
  <si>
    <t>Used + CDM</t>
  </si>
  <si>
    <t>Number of Days in Month</t>
  </si>
  <si>
    <t>Number of Customers</t>
  </si>
  <si>
    <t>Predicted Consumption + CDM</t>
  </si>
  <si>
    <t>Predicted Consumption</t>
  </si>
  <si>
    <t>Variances (kWh)</t>
  </si>
  <si>
    <t>% Variance</t>
  </si>
  <si>
    <t>10 Yr Avge</t>
  </si>
  <si>
    <t>Weather Normal</t>
  </si>
  <si>
    <t>Purchases</t>
  </si>
  <si>
    <t>Predicted + CDM</t>
  </si>
  <si>
    <t>Predicted</t>
  </si>
  <si>
    <t>Fall Flag</t>
  </si>
  <si>
    <t>Model 26: Prais-Winsten, using observations 2011:01-2021:12 (T = 132)</t>
  </si>
  <si>
    <t>Dependent variable: GSlt50_NoCDM</t>
  </si>
  <si>
    <t>rho = -0.0967591</t>
  </si>
  <si>
    <t>F(6, 125)</t>
  </si>
  <si>
    <t>General Service &gt; 50 - 999 kW</t>
  </si>
  <si>
    <t>Model 34: Prais-Winsten, using observations 2011:01-2021:12 (T = 132)</t>
  </si>
  <si>
    <t>Dependent variable: GS50to999_NoCDM</t>
  </si>
  <si>
    <t>rho = 0.294698</t>
  </si>
  <si>
    <t>Total to 2016</t>
  </si>
  <si>
    <t>Actual and Modeled Used</t>
  </si>
  <si>
    <t xml:space="preserve">Residential </t>
  </si>
  <si>
    <r>
      <t xml:space="preserve">General Service </t>
    </r>
    <r>
      <rPr>
        <b/>
        <u/>
        <sz val="10"/>
        <rFont val="Arial"/>
        <family val="2"/>
      </rPr>
      <t>&lt; 50 kW</t>
    </r>
  </si>
  <si>
    <r>
      <t xml:space="preserve">General Service </t>
    </r>
    <r>
      <rPr>
        <b/>
        <u/>
        <sz val="10"/>
        <rFont val="Arial"/>
        <family val="2"/>
      </rPr>
      <t xml:space="preserve"> 50 to 999 kW</t>
    </r>
  </si>
  <si>
    <r>
      <t xml:space="preserve">General Service </t>
    </r>
    <r>
      <rPr>
        <b/>
        <u/>
        <sz val="10"/>
        <rFont val="Arial"/>
        <family val="2"/>
      </rPr>
      <t>1000 to 4999 kW</t>
    </r>
  </si>
  <si>
    <t xml:space="preserve">Streetlights </t>
  </si>
  <si>
    <t xml:space="preserve">Unmetered Loads </t>
  </si>
  <si>
    <t>CDM Adjustment</t>
  </si>
  <si>
    <t>CDM-Adjusted Forecast</t>
  </si>
  <si>
    <t>Average Usage Per Customer</t>
  </si>
  <si>
    <t>Total Metered</t>
  </si>
  <si>
    <t>% Growth</t>
  </si>
  <si>
    <t>Growth Study</t>
  </si>
  <si>
    <t>2012-2020 Geomean
From Dec 2021</t>
  </si>
  <si>
    <t>Constant from Dec 21</t>
  </si>
  <si>
    <t>Constant from 2014-2021</t>
  </si>
  <si>
    <t>2012-2021 Geomean</t>
  </si>
  <si>
    <t>2012-2021 Geomean 
from Dec 2021</t>
  </si>
  <si>
    <t>Reclassifications in Aug/Sept 2021 - Growth from post-reclassification</t>
  </si>
  <si>
    <t>Monthly Summary</t>
  </si>
  <si>
    <t>Difference</t>
  </si>
  <si>
    <t>Forecast Used</t>
  </si>
  <si>
    <t>Change in Count</t>
  </si>
  <si>
    <t>General Service &gt; 50 to 999 kW</t>
  </si>
  <si>
    <t>General Service &gt; 1000 to 4999 kW</t>
  </si>
  <si>
    <t xml:space="preserve">Large User </t>
  </si>
  <si>
    <t>CDM Adjusted</t>
  </si>
  <si>
    <t>kW/kWh</t>
  </si>
  <si>
    <t>10-Year Avg.</t>
  </si>
  <si>
    <t>Avg. Excl 20/1</t>
  </si>
  <si>
    <t>5-Year Avg.</t>
  </si>
  <si>
    <t>Toronto FTE Adj</t>
  </si>
  <si>
    <t>Forecast CDM</t>
  </si>
  <si>
    <t>Predicted After CDM</t>
  </si>
  <si>
    <t>General Service &lt; 50 kW Weather Normalized</t>
  </si>
  <si>
    <t>General Service &gt; 50 - 999 kW Weather Normalized</t>
  </si>
  <si>
    <t>General Service &lt; 50 kW Weather Normalized (20-year Trend)</t>
  </si>
  <si>
    <t>General Service &gt; 50 - 999 kW Weather Normalized (20-year Trend)</t>
  </si>
  <si>
    <t>2011-2019 Geomean
From Dec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</si>
</sst>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0.0%"/>
    <numFmt numFmtId="166" formatCode="#,##0;\(#,##0\)"/>
    <numFmt numFmtId="167" formatCode="0.0000"/>
    <numFmt numFmtId="168" formatCode="#,##0.0000"/>
    <numFmt numFmtId="169" formatCode="0.0000%"/>
    <numFmt numFmtId="170" formatCode="_(* #,##0_);_(* \(#,##0\);_(* &quot;-&quot;??_);_(@_)"/>
    <numFmt numFmtId="171" formatCode="0.0"/>
    <numFmt numFmtId="172" formatCode="#,##0.0"/>
    <numFmt numFmtId="173" formatCode="#,##0.000"/>
    <numFmt numFmtId="174" formatCode="_-* #,##0_-;\-* #,##0_-;_-* &quot;-&quot;??_-;_-@_-"/>
    <numFmt numFmtId="175" formatCode="_(* #,##0.0_);_(* \(#,##0.0\);_(* &quot;-&quot;??_);_(@_)"/>
    <numFmt numFmtId="176" formatCode="#,##0.0_);\(#,##0.0\)"/>
  </numFmts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49">
    <xf numFmtId="0" fontId="0" fillId="0" borderId="0" xfId="0"/>
    <xf numFmtId="0" fontId="0" fillId="0" borderId="0" xfId="0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/>
    <xf numFmtId="10" fontId="0" fillId="0" borderId="0" xfId="0" applyNumberFormat="1" applyAlignment="1">
      <alignment horizontal="center"/>
    </xf>
    <xf numFmtId="1" fontId="0" fillId="0" borderId="0" xfId="0" applyNumberFormat="1"/>
    <xf numFmtId="0" fontId="4" fillId="0" borderId="0" xfId="0" applyFont="1"/>
    <xf numFmtId="17" fontId="4" fillId="0" borderId="0" xfId="0" applyNumberFormat="1" applyFont="1"/>
    <xf numFmtId="167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3" fontId="4" fillId="0" borderId="0" xfId="0" applyNumberFormat="1" applyFont="1"/>
    <xf numFmtId="0" fontId="5" fillId="0" borderId="0" xfId="0" applyFont="1"/>
    <xf numFmtId="165" fontId="0" fillId="0" borderId="0" xfId="0" applyNumberFormat="1" applyAlignment="1">
      <alignment horizontal="center" wrapText="1"/>
    </xf>
    <xf numFmtId="0" fontId="4" fillId="0" borderId="0" xfId="0" applyFont="1" applyAlignment="1">
      <alignment horizontal="center" wrapText="1"/>
    </xf>
    <xf numFmtId="37" fontId="0" fillId="0" borderId="0" xfId="0" applyNumberFormat="1" applyAlignment="1">
      <alignment horizontal="center"/>
    </xf>
    <xf numFmtId="3" fontId="7" fillId="0" borderId="0" xfId="0" applyNumberFormat="1" applyFont="1" applyAlignment="1">
      <alignment horizontal="center"/>
    </xf>
    <xf numFmtId="0" fontId="1" fillId="0" borderId="0" xfId="0" applyFont="1"/>
    <xf numFmtId="3" fontId="0" fillId="0" borderId="0" xfId="0" applyNumberFormat="1"/>
    <xf numFmtId="10" fontId="0" fillId="0" borderId="0" xfId="2" applyNumberFormat="1" applyFont="1" applyFill="1" applyAlignment="1">
      <alignment horizontal="center" wrapText="1"/>
    </xf>
    <xf numFmtId="37" fontId="1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 wrapText="1"/>
    </xf>
    <xf numFmtId="10" fontId="0" fillId="0" borderId="0" xfId="2" applyNumberFormat="1" applyFont="1" applyAlignment="1">
      <alignment horizontal="center"/>
    </xf>
    <xf numFmtId="3" fontId="1" fillId="0" borderId="0" xfId="0" quotePrefix="1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173" fontId="0" fillId="0" borderId="0" xfId="0" applyNumberFormat="1" applyAlignment="1">
      <alignment horizontal="center"/>
    </xf>
    <xf numFmtId="172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/>
    </xf>
    <xf numFmtId="3" fontId="4" fillId="3" borderId="0" xfId="0" applyNumberFormat="1" applyFont="1" applyFill="1" applyAlignment="1">
      <alignment horizontal="center"/>
    </xf>
    <xf numFmtId="170" fontId="0" fillId="0" borderId="0" xfId="1" applyNumberFormat="1" applyFont="1"/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center"/>
    </xf>
    <xf numFmtId="3" fontId="8" fillId="0" borderId="0" xfId="0" applyNumberFormat="1" applyFont="1" applyAlignment="1">
      <alignment horizontal="center" wrapText="1"/>
    </xf>
    <xf numFmtId="3" fontId="8" fillId="3" borderId="0" xfId="0" applyNumberFormat="1" applyFont="1" applyFill="1" applyAlignment="1">
      <alignment horizontal="center"/>
    </xf>
    <xf numFmtId="3" fontId="4" fillId="3" borderId="0" xfId="0" applyNumberFormat="1" applyFont="1" applyFill="1" applyAlignment="1">
      <alignment horizontal="center" wrapText="1"/>
    </xf>
    <xf numFmtId="3" fontId="8" fillId="3" borderId="0" xfId="0" applyNumberFormat="1" applyFont="1" applyFill="1" applyAlignment="1">
      <alignment horizontal="center" wrapText="1"/>
    </xf>
    <xf numFmtId="3" fontId="0" fillId="4" borderId="0" xfId="0" applyNumberFormat="1" applyFill="1" applyAlignment="1">
      <alignment horizontal="center"/>
    </xf>
    <xf numFmtId="170" fontId="1" fillId="4" borderId="1" xfId="1" applyNumberFormat="1" applyFont="1" applyFill="1" applyBorder="1" applyAlignment="1">
      <alignment horizontal="center"/>
    </xf>
    <xf numFmtId="10" fontId="1" fillId="0" borderId="0" xfId="2" applyNumberFormat="1" applyFont="1" applyAlignment="1">
      <alignment horizontal="center" wrapText="1"/>
    </xf>
    <xf numFmtId="3" fontId="1" fillId="0" borderId="0" xfId="0" applyNumberFormat="1" applyFont="1" applyAlignment="1">
      <alignment horizontal="center" wrapText="1"/>
    </xf>
    <xf numFmtId="171" fontId="1" fillId="0" borderId="0" xfId="0" quotePrefix="1" applyNumberFormat="1" applyFont="1" applyAlignment="1">
      <alignment horizontal="right"/>
    </xf>
    <xf numFmtId="0" fontId="4" fillId="0" borderId="0" xfId="0" applyFont="1" applyAlignment="1">
      <alignment horizontal="left"/>
    </xf>
    <xf numFmtId="170" fontId="4" fillId="0" borderId="0" xfId="1" applyNumberFormat="1" applyFont="1" applyFill="1" applyAlignment="1">
      <alignment horizontal="center"/>
    </xf>
    <xf numFmtId="171" fontId="10" fillId="0" borderId="0" xfId="0" applyNumberFormat="1" applyFont="1"/>
    <xf numFmtId="3" fontId="1" fillId="0" borderId="0" xfId="1" applyNumberFormat="1" applyFont="1" applyFill="1" applyAlignment="1">
      <alignment horizontal="center"/>
    </xf>
    <xf numFmtId="170" fontId="0" fillId="0" borderId="0" xfId="1" applyNumberFormat="1" applyFont="1" applyAlignment="1">
      <alignment horizontal="center"/>
    </xf>
    <xf numFmtId="170" fontId="1" fillId="0" borderId="0" xfId="1" applyNumberFormat="1" applyFont="1" applyFill="1" applyAlignment="1">
      <alignment horizontal="right"/>
    </xf>
    <xf numFmtId="3" fontId="1" fillId="0" borderId="0" xfId="0" applyNumberFormat="1" applyFont="1" applyAlignment="1">
      <alignment horizontal="right"/>
    </xf>
    <xf numFmtId="170" fontId="0" fillId="0" borderId="0" xfId="0" applyNumberFormat="1"/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170" fontId="1" fillId="5" borderId="1" xfId="1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1" applyNumberFormat="1" applyFont="1" applyBorder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3" fontId="1" fillId="0" borderId="0" xfId="0" applyNumberFormat="1" applyFont="1" applyAlignment="1">
      <alignment horizontal="left"/>
    </xf>
    <xf numFmtId="0" fontId="1" fillId="0" borderId="0" xfId="0" applyFont="1" applyAlignment="1">
      <alignment vertical="center"/>
    </xf>
    <xf numFmtId="1" fontId="1" fillId="0" borderId="0" xfId="1" applyNumberFormat="1" applyFont="1" applyBorder="1" applyAlignment="1">
      <alignment horizontal="center" wrapText="1"/>
    </xf>
    <xf numFmtId="3" fontId="1" fillId="0" borderId="0" xfId="0" applyNumberFormat="1" applyFont="1" applyAlignment="1">
      <alignment vertical="center" wrapText="1"/>
    </xf>
    <xf numFmtId="0" fontId="0" fillId="0" borderId="0" xfId="1" applyNumberFormat="1" applyFont="1" applyAlignment="1">
      <alignment horizontal="center"/>
    </xf>
    <xf numFmtId="3" fontId="0" fillId="0" borderId="0" xfId="0" applyNumberFormat="1" applyAlignment="1">
      <alignment horizontal="right"/>
    </xf>
    <xf numFmtId="3" fontId="1" fillId="0" borderId="0" xfId="0" applyNumberFormat="1" applyFont="1"/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0" fontId="0" fillId="0" borderId="0" xfId="0" applyNumberFormat="1"/>
    <xf numFmtId="1" fontId="0" fillId="0" borderId="0" xfId="0" applyNumberFormat="1" applyAlignment="1">
      <alignment horizontal="right"/>
    </xf>
    <xf numFmtId="11" fontId="0" fillId="0" borderId="0" xfId="0" applyNumberFormat="1"/>
    <xf numFmtId="4" fontId="3" fillId="0" borderId="0" xfId="0" applyNumberFormat="1" applyFont="1" applyAlignment="1">
      <alignment horizontal="center" wrapText="1"/>
    </xf>
    <xf numFmtId="4" fontId="1" fillId="0" borderId="0" xfId="0" applyNumberFormat="1" applyFont="1" applyAlignment="1">
      <alignment horizontal="center" wrapText="1"/>
    </xf>
    <xf numFmtId="170" fontId="1" fillId="4" borderId="0" xfId="1" applyNumberFormat="1" applyFont="1" applyFill="1" applyAlignment="1">
      <alignment horizontal="center"/>
    </xf>
    <xf numFmtId="170" fontId="0" fillId="4" borderId="0" xfId="1" applyNumberFormat="1" applyFont="1" applyFill="1" applyAlignment="1">
      <alignment horizontal="center"/>
    </xf>
    <xf numFmtId="1" fontId="12" fillId="0" borderId="0" xfId="0" applyNumberFormat="1" applyFont="1" applyAlignment="1">
      <alignment horizontal="right"/>
    </xf>
    <xf numFmtId="17" fontId="1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Continuous"/>
    </xf>
    <xf numFmtId="170" fontId="1" fillId="0" borderId="0" xfId="1" applyNumberFormat="1" applyFont="1" applyFill="1"/>
    <xf numFmtId="3" fontId="12" fillId="0" borderId="0" xfId="0" applyNumberFormat="1" applyFont="1" applyAlignment="1">
      <alignment horizontal="center"/>
    </xf>
    <xf numFmtId="3" fontId="12" fillId="4" borderId="0" xfId="0" applyNumberFormat="1" applyFont="1" applyFill="1" applyAlignment="1">
      <alignment horizontal="center"/>
    </xf>
    <xf numFmtId="3" fontId="1" fillId="0" borderId="0" xfId="0" applyNumberFormat="1" applyFont="1" applyAlignment="1">
      <alignment wrapText="1"/>
    </xf>
    <xf numFmtId="169" fontId="0" fillId="0" borderId="0" xfId="2" applyNumberFormat="1" applyFont="1" applyAlignment="1">
      <alignment horizontal="center"/>
    </xf>
    <xf numFmtId="37" fontId="12" fillId="0" borderId="0" xfId="0" applyNumberFormat="1" applyFont="1" applyAlignment="1">
      <alignment horizontal="center"/>
    </xf>
    <xf numFmtId="9" fontId="0" fillId="0" borderId="0" xfId="0" applyNumberFormat="1"/>
    <xf numFmtId="168" fontId="4" fillId="0" borderId="0" xfId="0" applyNumberFormat="1" applyFont="1" applyAlignment="1">
      <alignment horizontal="center" wrapText="1"/>
    </xf>
    <xf numFmtId="169" fontId="4" fillId="0" borderId="0" xfId="0" applyNumberFormat="1" applyFont="1" applyAlignment="1">
      <alignment horizontal="center"/>
    </xf>
    <xf numFmtId="169" fontId="4" fillId="0" borderId="0" xfId="2" applyNumberFormat="1" applyFont="1" applyAlignment="1">
      <alignment horizontal="center"/>
    </xf>
    <xf numFmtId="0" fontId="0" fillId="0" borderId="0" xfId="0" applyAlignment="1">
      <alignment vertical="center" wrapText="1"/>
    </xf>
    <xf numFmtId="39" fontId="1" fillId="0" borderId="0" xfId="0" applyNumberFormat="1" applyFont="1" applyAlignment="1">
      <alignment horizontal="center"/>
    </xf>
    <xf numFmtId="39" fontId="12" fillId="0" borderId="0" xfId="0" applyNumberFormat="1" applyFont="1" applyAlignment="1">
      <alignment horizontal="center"/>
    </xf>
    <xf numFmtId="175" fontId="0" fillId="0" borderId="0" xfId="1" applyNumberFormat="1" applyFont="1" applyAlignment="1">
      <alignment horizontal="center"/>
    </xf>
    <xf numFmtId="169" fontId="1" fillId="0" borderId="0" xfId="2" applyNumberFormat="1" applyFont="1" applyAlignment="1">
      <alignment horizontal="center"/>
    </xf>
    <xf numFmtId="0" fontId="1" fillId="0" borderId="0" xfId="0" applyFont="1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170" fontId="1" fillId="4" borderId="0" xfId="1" applyNumberFormat="1" applyFont="1" applyFill="1" applyAlignment="1">
      <alignment vertical="center"/>
    </xf>
    <xf numFmtId="170" fontId="0" fillId="4" borderId="0" xfId="1" applyNumberFormat="1" applyFont="1" applyFill="1" applyAlignment="1">
      <alignment vertical="center"/>
    </xf>
    <xf numFmtId="3" fontId="0" fillId="0" borderId="0" xfId="0" applyNumberFormat="1" applyAlignment="1">
      <alignment vertical="center" wrapText="1"/>
    </xf>
    <xf numFmtId="170" fontId="0" fillId="0" borderId="0" xfId="1" applyNumberFormat="1" applyFont="1" applyBorder="1" applyAlignment="1">
      <alignment horizontal="center"/>
    </xf>
    <xf numFmtId="170" fontId="0" fillId="0" borderId="0" xfId="1" applyNumberFormat="1" applyFont="1" applyBorder="1"/>
    <xf numFmtId="174" fontId="0" fillId="0" borderId="0" xfId="1" applyNumberFormat="1" applyFont="1" applyBorder="1" applyAlignment="1">
      <alignment horizontal="center"/>
    </xf>
    <xf numFmtId="0" fontId="1" fillId="0" borderId="0" xfId="1" applyNumberFormat="1" applyFont="1" applyBorder="1" applyAlignment="1">
      <alignment wrapText="1"/>
    </xf>
    <xf numFmtId="0" fontId="0" fillId="0" borderId="0" xfId="1" applyNumberFormat="1" applyFont="1" applyBorder="1" applyAlignment="1">
      <alignment horizontal="center"/>
    </xf>
    <xf numFmtId="170" fontId="0" fillId="5" borderId="0" xfId="1" applyNumberFormat="1" applyFont="1" applyFill="1" applyAlignment="1">
      <alignment horizontal="center"/>
    </xf>
    <xf numFmtId="165" fontId="0" fillId="4" borderId="0" xfId="2" applyNumberFormat="1" applyFont="1" applyFill="1" applyAlignment="1">
      <alignment horizontal="center"/>
    </xf>
    <xf numFmtId="165" fontId="13" fillId="5" borderId="0" xfId="2" applyNumberFormat="1" applyFont="1" applyFill="1" applyAlignment="1">
      <alignment horizontal="center"/>
    </xf>
    <xf numFmtId="17" fontId="0" fillId="0" borderId="0" xfId="0" applyNumberFormat="1" applyAlignment="1">
      <alignment horizontal="right"/>
    </xf>
    <xf numFmtId="175" fontId="12" fillId="5" borderId="0" xfId="1" applyNumberFormat="1" applyFont="1" applyFill="1" applyAlignment="1">
      <alignment horizontal="center"/>
    </xf>
    <xf numFmtId="165" fontId="13" fillId="0" borderId="0" xfId="2" applyNumberFormat="1" applyFont="1" applyAlignment="1">
      <alignment horizontal="center"/>
    </xf>
    <xf numFmtId="0" fontId="4" fillId="0" borderId="0" xfId="0" applyFont="1" applyAlignment="1">
      <alignment vertical="center" wrapText="1"/>
    </xf>
    <xf numFmtId="17" fontId="1" fillId="0" borderId="0" xfId="0" applyNumberFormat="1" applyFont="1" applyAlignment="1">
      <alignment horizontal="left"/>
    </xf>
    <xf numFmtId="17" fontId="4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center"/>
    </xf>
    <xf numFmtId="3" fontId="14" fillId="4" borderId="0" xfId="0" applyNumberFormat="1" applyFont="1" applyFill="1" applyAlignment="1">
      <alignment horizontal="center"/>
    </xf>
    <xf numFmtId="1" fontId="6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176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65" fontId="0" fillId="0" borderId="0" xfId="2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3" fontId="8" fillId="3" borderId="0" xfId="0" applyNumberFormat="1" applyFont="1" applyFill="1" applyAlignment="1">
      <alignment horizontal="center"/>
    </xf>
    <xf numFmtId="3" fontId="9" fillId="3" borderId="3" xfId="0" applyNumberFormat="1" applyFont="1" applyFill="1" applyBorder="1" applyAlignment="1">
      <alignment horizontal="center"/>
    </xf>
    <xf numFmtId="3" fontId="9" fillId="3" borderId="2" xfId="0" applyNumberFormat="1" applyFont="1" applyFill="1" applyBorder="1" applyAlignment="1">
      <alignment horizontal="center"/>
    </xf>
    <xf numFmtId="3" fontId="9" fillId="3" borderId="4" xfId="0" applyNumberFormat="1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 wrapText="1"/>
    </xf>
    <xf numFmtId="3" fontId="1" fillId="0" borderId="0" xfId="0" applyNumberFormat="1" applyFont="1" applyAlignment="1">
      <alignment horizontal="center" vertical="center" wrapText="1"/>
    </xf>
    <xf numFmtId="3" fontId="1" fillId="4" borderId="0" xfId="0" applyNumberFormat="1" applyFont="1" applyFill="1" applyAlignment="1">
      <alignment horizontal="center"/>
    </xf>
    <xf numFmtId="3" fontId="4" fillId="3" borderId="0" xfId="0" applyNumberFormat="1" applyFont="1" applyFill="1" applyAlignment="1">
      <alignment horizontal="center"/>
    </xf>
    <xf numFmtId="3" fontId="1" fillId="0" borderId="0" xfId="0" applyNumberFormat="1" applyFont="1" applyAlignment="1">
      <alignment horizontal="left" wrapText="1"/>
    </xf>
    <xf numFmtId="3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  <xf numFmtId="165" fontId="0" fillId="6" borderId="0" xfId="2" applyNumberFormat="1" applyFont="1" applyFill="1" applyAlignment="1">
      <alignment horizontal="center"/>
    </xf>
    <xf numFmtId="3" fontId="1" fillId="6" borderId="0" xfId="0" applyNumberFormat="1" applyFont="1" applyFill="1" applyAlignment="1">
      <alignment horizontal="center" vertical="center" wrapText="1"/>
    </xf>
    <xf numFmtId="3" fontId="0" fillId="6" borderId="0" xfId="0" applyNumberFormat="1" applyFill="1" applyAlignment="1">
      <alignment horizontal="center"/>
    </xf>
  </cellXfs>
  <cellStyles count="10">
    <cellStyle name="Comma" xfId="1" builtinId="3"/>
    <cellStyle name="Comma 2" xfId="8" xr:uid="{EF5882B1-335E-45C7-97D6-22ECD53FDCE7}"/>
    <cellStyle name="Comma 7" xfId="4" xr:uid="{F2171BE8-FE0D-4151-AC06-417E0E9A208E}"/>
    <cellStyle name="Currency 2" xfId="6" xr:uid="{47EB6405-1F8F-4A9A-B530-6E416911071F}"/>
    <cellStyle name="Normal" xfId="0" builtinId="0"/>
    <cellStyle name="Normal 2" xfId="5" xr:uid="{62805224-4972-45E8-9C46-00119CB5B2E7}"/>
    <cellStyle name="Normal 3" xfId="7" xr:uid="{F077D5C5-407F-4AEC-BD40-1A77A1538494}"/>
    <cellStyle name="Normal 8" xfId="3" xr:uid="{833F5876-D4BD-4158-A3B1-BE7C6C398F86}"/>
    <cellStyle name="Percent" xfId="2" builtinId="5"/>
    <cellStyle name="Percent 2" xfId="9" xr:uid="{A2DC4FC9-AFB9-4DCD-9B28-B18BDD9A4B53}"/>
  </cellStyles>
  <dxfs count="0"/>
  <tableStyles count="0" defaultTableStyle="TableStyleMedium9" defaultPivotStyle="PivotStyleLight16"/>
  <colors>
    <mruColors>
      <color rgb="FFEFF2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&lt; 50 kW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 &lt; 50 kW'!$F$2</c:f>
              <c:strCache>
                <c:ptCount val="1"/>
                <c:pt idx="0">
                  <c:v> GSlt50_NoCDM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'GS &lt; 50 kW'!$A$3:$A$158</c:f>
              <c:numCache>
                <c:formatCode>mmm\-yy</c:formatCode>
                <c:ptCount val="15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  <c:pt idx="126">
                  <c:v>44378</c:v>
                </c:pt>
                <c:pt idx="127">
                  <c:v>44409</c:v>
                </c:pt>
                <c:pt idx="128">
                  <c:v>44440</c:v>
                </c:pt>
                <c:pt idx="129">
                  <c:v>44470</c:v>
                </c:pt>
                <c:pt idx="130">
                  <c:v>44501</c:v>
                </c:pt>
                <c:pt idx="131">
                  <c:v>44531</c:v>
                </c:pt>
                <c:pt idx="132">
                  <c:v>44562</c:v>
                </c:pt>
                <c:pt idx="133">
                  <c:v>44593</c:v>
                </c:pt>
                <c:pt idx="134">
                  <c:v>44621</c:v>
                </c:pt>
                <c:pt idx="135">
                  <c:v>44652</c:v>
                </c:pt>
                <c:pt idx="136">
                  <c:v>44682</c:v>
                </c:pt>
                <c:pt idx="137">
                  <c:v>44713</c:v>
                </c:pt>
                <c:pt idx="138">
                  <c:v>44743</c:v>
                </c:pt>
                <c:pt idx="139">
                  <c:v>44774</c:v>
                </c:pt>
                <c:pt idx="140">
                  <c:v>44805</c:v>
                </c:pt>
                <c:pt idx="141">
                  <c:v>44835</c:v>
                </c:pt>
                <c:pt idx="142">
                  <c:v>44866</c:v>
                </c:pt>
                <c:pt idx="143">
                  <c:v>44896</c:v>
                </c:pt>
                <c:pt idx="144">
                  <c:v>44927</c:v>
                </c:pt>
                <c:pt idx="145">
                  <c:v>44958</c:v>
                </c:pt>
                <c:pt idx="146">
                  <c:v>44986</c:v>
                </c:pt>
                <c:pt idx="147">
                  <c:v>45017</c:v>
                </c:pt>
                <c:pt idx="148">
                  <c:v>45047</c:v>
                </c:pt>
                <c:pt idx="149">
                  <c:v>45078</c:v>
                </c:pt>
                <c:pt idx="150">
                  <c:v>45108</c:v>
                </c:pt>
                <c:pt idx="151">
                  <c:v>45139</c:v>
                </c:pt>
                <c:pt idx="152">
                  <c:v>45170</c:v>
                </c:pt>
                <c:pt idx="153">
                  <c:v>45200</c:v>
                </c:pt>
                <c:pt idx="154">
                  <c:v>45231</c:v>
                </c:pt>
                <c:pt idx="155">
                  <c:v>45261</c:v>
                </c:pt>
              </c:numCache>
            </c:numRef>
          </c:cat>
          <c:val>
            <c:numRef>
              <c:f>'GS &lt; 50 kW'!$F$3:$F$127</c:f>
              <c:numCache>
                <c:formatCode>_(* #,##0_);_(* \(#,##0\);_(* "-"??_);_(@_)</c:formatCode>
                <c:ptCount val="125"/>
                <c:pt idx="0">
                  <c:v>6864837.5606799051</c:v>
                </c:pt>
                <c:pt idx="1">
                  <c:v>7486989.0006799055</c:v>
                </c:pt>
                <c:pt idx="2">
                  <c:v>7162036.2106799055</c:v>
                </c:pt>
                <c:pt idx="3">
                  <c:v>6476547.8606799087</c:v>
                </c:pt>
                <c:pt idx="4">
                  <c:v>6403514.4906799076</c:v>
                </c:pt>
                <c:pt idx="5">
                  <c:v>6877896.1406799043</c:v>
                </c:pt>
                <c:pt idx="6">
                  <c:v>7234914.1806799052</c:v>
                </c:pt>
                <c:pt idx="7">
                  <c:v>7344852.5306799076</c:v>
                </c:pt>
                <c:pt idx="8">
                  <c:v>6374849.0306799021</c:v>
                </c:pt>
                <c:pt idx="9">
                  <c:v>6197006.2306798976</c:v>
                </c:pt>
                <c:pt idx="10">
                  <c:v>6512655.0606799014</c:v>
                </c:pt>
                <c:pt idx="11">
                  <c:v>8516346.6906799022</c:v>
                </c:pt>
                <c:pt idx="12">
                  <c:v>6574209.2444903748</c:v>
                </c:pt>
                <c:pt idx="13">
                  <c:v>7340119.5544903772</c:v>
                </c:pt>
                <c:pt idx="14">
                  <c:v>6958502.994490372</c:v>
                </c:pt>
                <c:pt idx="15">
                  <c:v>6528936.0744903851</c:v>
                </c:pt>
                <c:pt idx="16">
                  <c:v>6426033.404490374</c:v>
                </c:pt>
                <c:pt idx="17">
                  <c:v>6971087.1044903705</c:v>
                </c:pt>
                <c:pt idx="18">
                  <c:v>7716520.8544903751</c:v>
                </c:pt>
                <c:pt idx="19">
                  <c:v>7843878.4144903794</c:v>
                </c:pt>
                <c:pt idx="20">
                  <c:v>6441465.9444903778</c:v>
                </c:pt>
                <c:pt idx="21">
                  <c:v>6350300.914490371</c:v>
                </c:pt>
                <c:pt idx="22">
                  <c:v>7024430.374490384</c:v>
                </c:pt>
                <c:pt idx="23">
                  <c:v>8378458.2844903842</c:v>
                </c:pt>
                <c:pt idx="24">
                  <c:v>7057432.2289354121</c:v>
                </c:pt>
                <c:pt idx="25">
                  <c:v>7593243.098935415</c:v>
                </c:pt>
                <c:pt idx="26">
                  <c:v>7735467.3789354125</c:v>
                </c:pt>
                <c:pt idx="27">
                  <c:v>6936016.7489354145</c:v>
                </c:pt>
                <c:pt idx="28">
                  <c:v>6937866.048935418</c:v>
                </c:pt>
                <c:pt idx="29">
                  <c:v>6780363.4189354125</c:v>
                </c:pt>
                <c:pt idx="30">
                  <c:v>7593943.1689354144</c:v>
                </c:pt>
                <c:pt idx="31">
                  <c:v>7611748.6689354172</c:v>
                </c:pt>
                <c:pt idx="32">
                  <c:v>6250680.5689354129</c:v>
                </c:pt>
                <c:pt idx="33">
                  <c:v>6826886.2589354143</c:v>
                </c:pt>
                <c:pt idx="34">
                  <c:v>6939097.1989354165</c:v>
                </c:pt>
                <c:pt idx="35">
                  <c:v>9532516.128935419</c:v>
                </c:pt>
                <c:pt idx="36">
                  <c:v>7487898.8517205259</c:v>
                </c:pt>
                <c:pt idx="37">
                  <c:v>8502995.9417205229</c:v>
                </c:pt>
                <c:pt idx="38">
                  <c:v>8235800.4217205308</c:v>
                </c:pt>
                <c:pt idx="39">
                  <c:v>7581461.2417205265</c:v>
                </c:pt>
                <c:pt idx="40">
                  <c:v>6902215.0417205226</c:v>
                </c:pt>
                <c:pt idx="41">
                  <c:v>6554303.0217205258</c:v>
                </c:pt>
                <c:pt idx="42">
                  <c:v>7496044.9317205288</c:v>
                </c:pt>
                <c:pt idx="43">
                  <c:v>7049683.7417205274</c:v>
                </c:pt>
                <c:pt idx="44">
                  <c:v>6616002.9717205288</c:v>
                </c:pt>
                <c:pt idx="45">
                  <c:v>6897925.29172053</c:v>
                </c:pt>
                <c:pt idx="46">
                  <c:v>7293217.2817205237</c:v>
                </c:pt>
                <c:pt idx="47">
                  <c:v>9033496.731720522</c:v>
                </c:pt>
                <c:pt idx="48">
                  <c:v>9162367.7804134693</c:v>
                </c:pt>
                <c:pt idx="49">
                  <c:v>8827828.0406544302</c:v>
                </c:pt>
                <c:pt idx="50">
                  <c:v>8435812.8310158737</c:v>
                </c:pt>
                <c:pt idx="51">
                  <c:v>7370231.4141484043</c:v>
                </c:pt>
                <c:pt idx="52">
                  <c:v>7077182.7683652705</c:v>
                </c:pt>
                <c:pt idx="53">
                  <c:v>6914019.9057146711</c:v>
                </c:pt>
                <c:pt idx="54">
                  <c:v>7837310.6719797337</c:v>
                </c:pt>
                <c:pt idx="55">
                  <c:v>7385438.6527026212</c:v>
                </c:pt>
                <c:pt idx="56">
                  <c:v>7261609.6984857554</c:v>
                </c:pt>
                <c:pt idx="57">
                  <c:v>6991164.0021002153</c:v>
                </c:pt>
                <c:pt idx="58">
                  <c:v>6518609.4286062401</c:v>
                </c:pt>
                <c:pt idx="59">
                  <c:v>6890863.0382447885</c:v>
                </c:pt>
                <c:pt idx="60">
                  <c:v>8689256.1018550042</c:v>
                </c:pt>
                <c:pt idx="61">
                  <c:v>8524672.8247465622</c:v>
                </c:pt>
                <c:pt idx="62">
                  <c:v>8034077.1524574133</c:v>
                </c:pt>
                <c:pt idx="63">
                  <c:v>7906470.30908392</c:v>
                </c:pt>
                <c:pt idx="64">
                  <c:v>6742797.6054694587</c:v>
                </c:pt>
                <c:pt idx="65">
                  <c:v>7675214.5211321106</c:v>
                </c:pt>
                <c:pt idx="66">
                  <c:v>8203345.3452284951</c:v>
                </c:pt>
                <c:pt idx="67">
                  <c:v>8087094.0199272949</c:v>
                </c:pt>
                <c:pt idx="68">
                  <c:v>7364858.7428188557</c:v>
                </c:pt>
                <c:pt idx="69">
                  <c:v>6481920.940409217</c:v>
                </c:pt>
                <c:pt idx="70">
                  <c:v>6598590.6946260817</c:v>
                </c:pt>
                <c:pt idx="71">
                  <c:v>8424033.8464333117</c:v>
                </c:pt>
                <c:pt idx="72">
                  <c:v>8961782.937473489</c:v>
                </c:pt>
                <c:pt idx="73">
                  <c:v>7475683.5639795121</c:v>
                </c:pt>
                <c:pt idx="74">
                  <c:v>8386104.0073530022</c:v>
                </c:pt>
                <c:pt idx="75">
                  <c:v>6961618.7254252993</c:v>
                </c:pt>
                <c:pt idx="76">
                  <c:v>6487938.850726502</c:v>
                </c:pt>
                <c:pt idx="77">
                  <c:v>7096252.9422927629</c:v>
                </c:pt>
                <c:pt idx="78">
                  <c:v>6969986.9760277011</c:v>
                </c:pt>
                <c:pt idx="79">
                  <c:v>7469547.1206060164</c:v>
                </c:pt>
                <c:pt idx="80">
                  <c:v>6971224.8651843295</c:v>
                </c:pt>
                <c:pt idx="81">
                  <c:v>6295611.4001240861</c:v>
                </c:pt>
                <c:pt idx="82">
                  <c:v>7055249.0097626392</c:v>
                </c:pt>
                <c:pt idx="83">
                  <c:v>7872393.2507264968</c:v>
                </c:pt>
                <c:pt idx="84">
                  <c:v>8973675.8913750686</c:v>
                </c:pt>
                <c:pt idx="85">
                  <c:v>7560592.093784716</c:v>
                </c:pt>
                <c:pt idx="86">
                  <c:v>8232567.2745076045</c:v>
                </c:pt>
                <c:pt idx="87">
                  <c:v>7175356.5853509782</c:v>
                </c:pt>
                <c:pt idx="88">
                  <c:v>7104279.4576401319</c:v>
                </c:pt>
                <c:pt idx="89">
                  <c:v>7590209.0961943539</c:v>
                </c:pt>
                <c:pt idx="90">
                  <c:v>7685013.5202907361</c:v>
                </c:pt>
                <c:pt idx="91">
                  <c:v>8305832.5949895326</c:v>
                </c:pt>
                <c:pt idx="92">
                  <c:v>7235600.4407726647</c:v>
                </c:pt>
                <c:pt idx="93">
                  <c:v>6858390.011857003</c:v>
                </c:pt>
                <c:pt idx="94">
                  <c:v>6844367.4480015812</c:v>
                </c:pt>
                <c:pt idx="95">
                  <c:v>8731785.7901702579</c:v>
                </c:pt>
                <c:pt idx="96">
                  <c:v>9100450.7979688402</c:v>
                </c:pt>
                <c:pt idx="97">
                  <c:v>8257335.0678483583</c:v>
                </c:pt>
                <c:pt idx="98">
                  <c:v>8209950.1811013678</c:v>
                </c:pt>
                <c:pt idx="99">
                  <c:v>7384598.2196555957</c:v>
                </c:pt>
                <c:pt idx="100">
                  <c:v>7011908.0220652344</c:v>
                </c:pt>
                <c:pt idx="101">
                  <c:v>6642423.5594146261</c:v>
                </c:pt>
                <c:pt idx="102">
                  <c:v>7953798.4027881147</c:v>
                </c:pt>
                <c:pt idx="103">
                  <c:v>7820229.9304989632</c:v>
                </c:pt>
                <c:pt idx="104">
                  <c:v>7019323.2991736615</c:v>
                </c:pt>
                <c:pt idx="105">
                  <c:v>6782854.7690531816</c:v>
                </c:pt>
                <c:pt idx="106">
                  <c:v>6765629.6027881224</c:v>
                </c:pt>
                <c:pt idx="107">
                  <c:v>8143431.5883302838</c:v>
                </c:pt>
                <c:pt idx="108">
                  <c:v>9133853.9773062132</c:v>
                </c:pt>
                <c:pt idx="109">
                  <c:v>8086938.7194748772</c:v>
                </c:pt>
                <c:pt idx="110">
                  <c:v>7679145.8712821063</c:v>
                </c:pt>
                <c:pt idx="111">
                  <c:v>6710329.7941736775</c:v>
                </c:pt>
                <c:pt idx="112">
                  <c:v>6149818.835137534</c:v>
                </c:pt>
                <c:pt idx="113">
                  <c:v>6828756.04959537</c:v>
                </c:pt>
                <c:pt idx="114">
                  <c:v>7775470.7291134307</c:v>
                </c:pt>
                <c:pt idx="115">
                  <c:v>7602092.4544146396</c:v>
                </c:pt>
                <c:pt idx="116">
                  <c:v>6802526.1989929536</c:v>
                </c:pt>
                <c:pt idx="117">
                  <c:v>6713600.6953784954</c:v>
                </c:pt>
                <c:pt idx="118">
                  <c:v>6639791.5001977691</c:v>
                </c:pt>
                <c:pt idx="119">
                  <c:v>7370193.7845351249</c:v>
                </c:pt>
                <c:pt idx="120">
                  <c:v>9052771.0857710969</c:v>
                </c:pt>
                <c:pt idx="121">
                  <c:v>8634891.8664939813</c:v>
                </c:pt>
                <c:pt idx="122">
                  <c:v>7932623.7508313302</c:v>
                </c:pt>
                <c:pt idx="123">
                  <c:v>7283139.1821566392</c:v>
                </c:pt>
                <c:pt idx="124">
                  <c:v>6652107.6448072325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C-42C7-B1F0-A5EB75A7E6E1}"/>
            </c:ext>
          </c:extLst>
        </c:ser>
        <c:ser>
          <c:idx val="1"/>
          <c:order val="1"/>
          <c:tx>
            <c:strRef>
              <c:f>'GS &lt; 50 kW'!$M$2</c:f>
              <c:strCache>
                <c:ptCount val="1"/>
                <c:pt idx="0">
                  <c:v>Predicted Consumption + CDM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'GS &lt; 50 kW'!$A$3:$A$158</c:f>
              <c:numCache>
                <c:formatCode>mmm\-yy</c:formatCode>
                <c:ptCount val="15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  <c:pt idx="126">
                  <c:v>44378</c:v>
                </c:pt>
                <c:pt idx="127">
                  <c:v>44409</c:v>
                </c:pt>
                <c:pt idx="128">
                  <c:v>44440</c:v>
                </c:pt>
                <c:pt idx="129">
                  <c:v>44470</c:v>
                </c:pt>
                <c:pt idx="130">
                  <c:v>44501</c:v>
                </c:pt>
                <c:pt idx="131">
                  <c:v>44531</c:v>
                </c:pt>
                <c:pt idx="132">
                  <c:v>44562</c:v>
                </c:pt>
                <c:pt idx="133">
                  <c:v>44593</c:v>
                </c:pt>
                <c:pt idx="134">
                  <c:v>44621</c:v>
                </c:pt>
                <c:pt idx="135">
                  <c:v>44652</c:v>
                </c:pt>
                <c:pt idx="136">
                  <c:v>44682</c:v>
                </c:pt>
                <c:pt idx="137">
                  <c:v>44713</c:v>
                </c:pt>
                <c:pt idx="138">
                  <c:v>44743</c:v>
                </c:pt>
                <c:pt idx="139">
                  <c:v>44774</c:v>
                </c:pt>
                <c:pt idx="140">
                  <c:v>44805</c:v>
                </c:pt>
                <c:pt idx="141">
                  <c:v>44835</c:v>
                </c:pt>
                <c:pt idx="142">
                  <c:v>44866</c:v>
                </c:pt>
                <c:pt idx="143">
                  <c:v>44896</c:v>
                </c:pt>
                <c:pt idx="144">
                  <c:v>44927</c:v>
                </c:pt>
                <c:pt idx="145">
                  <c:v>44958</c:v>
                </c:pt>
                <c:pt idx="146">
                  <c:v>44986</c:v>
                </c:pt>
                <c:pt idx="147">
                  <c:v>45017</c:v>
                </c:pt>
                <c:pt idx="148">
                  <c:v>45047</c:v>
                </c:pt>
                <c:pt idx="149">
                  <c:v>45078</c:v>
                </c:pt>
                <c:pt idx="150">
                  <c:v>45108</c:v>
                </c:pt>
                <c:pt idx="151">
                  <c:v>45139</c:v>
                </c:pt>
                <c:pt idx="152">
                  <c:v>45170</c:v>
                </c:pt>
                <c:pt idx="153">
                  <c:v>45200</c:v>
                </c:pt>
                <c:pt idx="154">
                  <c:v>45231</c:v>
                </c:pt>
                <c:pt idx="155">
                  <c:v>45261</c:v>
                </c:pt>
              </c:numCache>
            </c:numRef>
          </c:cat>
          <c:val>
            <c:numRef>
              <c:f>'GS &lt; 50 kW'!$M$3:$M$158</c:f>
              <c:numCache>
                <c:formatCode>#,##0_);\(#,##0\)</c:formatCode>
                <c:ptCount val="156"/>
                <c:pt idx="0">
                  <c:v>7944146.6059864927</c:v>
                </c:pt>
                <c:pt idx="1">
                  <c:v>7652985.9499254115</c:v>
                </c:pt>
                <c:pt idx="2">
                  <c:v>7334307.1557414373</c:v>
                </c:pt>
                <c:pt idx="3">
                  <c:v>6534292.4946584199</c:v>
                </c:pt>
                <c:pt idx="4">
                  <c:v>6211550.542533882</c:v>
                </c:pt>
                <c:pt idx="5">
                  <c:v>6569067.3245740877</c:v>
                </c:pt>
                <c:pt idx="6">
                  <c:v>7492734.685663484</c:v>
                </c:pt>
                <c:pt idx="7">
                  <c:v>7199065.097219795</c:v>
                </c:pt>
                <c:pt idx="8">
                  <c:v>6335847.1522482643</c:v>
                </c:pt>
                <c:pt idx="9">
                  <c:v>6280252.3797737099</c:v>
                </c:pt>
                <c:pt idx="10">
                  <c:v>6486392.7529938724</c:v>
                </c:pt>
                <c:pt idx="11">
                  <c:v>7438383.8570625065</c:v>
                </c:pt>
                <c:pt idx="12">
                  <c:v>7726604.0599881746</c:v>
                </c:pt>
                <c:pt idx="13">
                  <c:v>7488700.3151206523</c:v>
                </c:pt>
                <c:pt idx="14">
                  <c:v>6944576.7109956425</c:v>
                </c:pt>
                <c:pt idx="15">
                  <c:v>6837146.9134493563</c:v>
                </c:pt>
                <c:pt idx="16">
                  <c:v>6674991.7564526349</c:v>
                </c:pt>
                <c:pt idx="17">
                  <c:v>7093969.5065693995</c:v>
                </c:pt>
                <c:pt idx="18">
                  <c:v>7662588.390121989</c:v>
                </c:pt>
                <c:pt idx="19">
                  <c:v>7231527.194277823</c:v>
                </c:pt>
                <c:pt idx="20">
                  <c:v>6310996.4118612548</c:v>
                </c:pt>
                <c:pt idx="21">
                  <c:v>6326934.0027660849</c:v>
                </c:pt>
                <c:pt idx="22">
                  <c:v>6900845.3799636913</c:v>
                </c:pt>
                <c:pt idx="23">
                  <c:v>7544484.569832895</c:v>
                </c:pt>
                <c:pt idx="24">
                  <c:v>7880520.5705504315</c:v>
                </c:pt>
                <c:pt idx="25">
                  <c:v>7979068.3573931791</c:v>
                </c:pt>
                <c:pt idx="26">
                  <c:v>7752988.0352081126</c:v>
                </c:pt>
                <c:pt idx="27">
                  <c:v>7116395.9338842174</c:v>
                </c:pt>
                <c:pt idx="28">
                  <c:v>6828695.2636615066</c:v>
                </c:pt>
                <c:pt idx="29">
                  <c:v>6952131.9474713616</c:v>
                </c:pt>
                <c:pt idx="30">
                  <c:v>7482484.6001065336</c:v>
                </c:pt>
                <c:pt idx="31">
                  <c:v>7267151.4582749307</c:v>
                </c:pt>
                <c:pt idx="32">
                  <c:v>6387278.388945966</c:v>
                </c:pt>
                <c:pt idx="33">
                  <c:v>6392609.5669244584</c:v>
                </c:pt>
                <c:pt idx="34">
                  <c:v>7181094.9199000327</c:v>
                </c:pt>
                <c:pt idx="35">
                  <c:v>8188534.3985772552</c:v>
                </c:pt>
                <c:pt idx="36">
                  <c:v>8676058.9768532682</c:v>
                </c:pt>
                <c:pt idx="37">
                  <c:v>8429770.0492576137</c:v>
                </c:pt>
                <c:pt idx="38">
                  <c:v>8220956.0086550247</c:v>
                </c:pt>
                <c:pt idx="39">
                  <c:v>7084313.2826511618</c:v>
                </c:pt>
                <c:pt idx="40">
                  <c:v>6687614.6078240499</c:v>
                </c:pt>
                <c:pt idx="41">
                  <c:v>7163941.7544747433</c:v>
                </c:pt>
                <c:pt idx="42">
                  <c:v>7286624.5677524414</c:v>
                </c:pt>
                <c:pt idx="43">
                  <c:v>7349600.6477044076</c:v>
                </c:pt>
                <c:pt idx="44">
                  <c:v>6678985.0544542503</c:v>
                </c:pt>
                <c:pt idx="45">
                  <c:v>6603616.7547564032</c:v>
                </c:pt>
                <c:pt idx="46">
                  <c:v>7383857.4783916278</c:v>
                </c:pt>
                <c:pt idx="47">
                  <c:v>7928618.9136870848</c:v>
                </c:pt>
                <c:pt idx="48">
                  <c:v>8745070.7100575622</c:v>
                </c:pt>
                <c:pt idx="49">
                  <c:v>9030882.9231663719</c:v>
                </c:pt>
                <c:pt idx="50">
                  <c:v>8136673.6083127819</c:v>
                </c:pt>
                <c:pt idx="51">
                  <c:v>7097684.4428893207</c:v>
                </c:pt>
                <c:pt idx="52">
                  <c:v>6987866.6766590048</c:v>
                </c:pt>
                <c:pt idx="53">
                  <c:v>6990865.0539716752</c:v>
                </c:pt>
                <c:pt idx="54">
                  <c:v>7482031.2265511714</c:v>
                </c:pt>
                <c:pt idx="55">
                  <c:v>7334687.7235257179</c:v>
                </c:pt>
                <c:pt idx="56">
                  <c:v>6912713.8864893289</c:v>
                </c:pt>
                <c:pt idx="57">
                  <c:v>6603176.9151803246</c:v>
                </c:pt>
                <c:pt idx="58">
                  <c:v>6957020.5093895048</c:v>
                </c:pt>
                <c:pt idx="59">
                  <c:v>7490494.7189053195</c:v>
                </c:pt>
                <c:pt idx="60">
                  <c:v>8290542.8483039821</c:v>
                </c:pt>
                <c:pt idx="61">
                  <c:v>8053885.8799757557</c:v>
                </c:pt>
                <c:pt idx="62">
                  <c:v>7770055.7110678274</c:v>
                </c:pt>
                <c:pt idx="63">
                  <c:v>7490423.8034446761</c:v>
                </c:pt>
                <c:pt idx="64">
                  <c:v>7148928.6602540938</c:v>
                </c:pt>
                <c:pt idx="65">
                  <c:v>7422752.5389389889</c:v>
                </c:pt>
                <c:pt idx="66">
                  <c:v>8007120.1966122845</c:v>
                </c:pt>
                <c:pt idx="67">
                  <c:v>8091391.6898445217</c:v>
                </c:pt>
                <c:pt idx="68">
                  <c:v>7033722.9968360774</c:v>
                </c:pt>
                <c:pt idx="69">
                  <c:v>6790863.7489012033</c:v>
                </c:pt>
                <c:pt idx="70">
                  <c:v>7010446.7218000563</c:v>
                </c:pt>
                <c:pt idx="71">
                  <c:v>8211664.8306099828</c:v>
                </c:pt>
                <c:pt idx="72">
                  <c:v>8237758.1420435263</c:v>
                </c:pt>
                <c:pt idx="73">
                  <c:v>7927529.139408567</c:v>
                </c:pt>
                <c:pt idx="74">
                  <c:v>8138220.4520077836</c:v>
                </c:pt>
                <c:pt idx="75">
                  <c:v>7105867.7301948145</c:v>
                </c:pt>
                <c:pt idx="76">
                  <c:v>6954044.2364864638</c:v>
                </c:pt>
                <c:pt idx="77">
                  <c:v>7319130.6353747137</c:v>
                </c:pt>
                <c:pt idx="78">
                  <c:v>7769216.5430093063</c:v>
                </c:pt>
                <c:pt idx="79">
                  <c:v>7544868.9616199462</c:v>
                </c:pt>
                <c:pt idx="80">
                  <c:v>7075292.8602169147</c:v>
                </c:pt>
                <c:pt idx="81">
                  <c:v>6765442.039515039</c:v>
                </c:pt>
                <c:pt idx="82">
                  <c:v>7419029.6050069667</c:v>
                </c:pt>
                <c:pt idx="83">
                  <c:v>8658840.9737600312</c:v>
                </c:pt>
                <c:pt idx="84">
                  <c:v>8683451.7733099293</c:v>
                </c:pt>
                <c:pt idx="85">
                  <c:v>8137819.5025126236</c:v>
                </c:pt>
                <c:pt idx="86">
                  <c:v>8100810.9080800107</c:v>
                </c:pt>
                <c:pt idx="87">
                  <c:v>7710301.0267564803</c:v>
                </c:pt>
                <c:pt idx="88">
                  <c:v>7159211.0441024872</c:v>
                </c:pt>
                <c:pt idx="89">
                  <c:v>7420540.0219657458</c:v>
                </c:pt>
                <c:pt idx="90">
                  <c:v>8065484.9897180106</c:v>
                </c:pt>
                <c:pt idx="91">
                  <c:v>8055715.4958635876</c:v>
                </c:pt>
                <c:pt idx="92">
                  <c:v>7202779.927769267</c:v>
                </c:pt>
                <c:pt idx="93">
                  <c:v>7055980.9134793933</c:v>
                </c:pt>
                <c:pt idx="94">
                  <c:v>7652605.3514864743</c:v>
                </c:pt>
                <c:pt idx="95">
                  <c:v>8147186.6535532381</c:v>
                </c:pt>
                <c:pt idx="96">
                  <c:v>8774655.7764296569</c:v>
                </c:pt>
                <c:pt idx="97">
                  <c:v>8332416.8956745733</c:v>
                </c:pt>
                <c:pt idx="98">
                  <c:v>8198121.3217527745</c:v>
                </c:pt>
                <c:pt idx="99">
                  <c:v>7328809.119800047</c:v>
                </c:pt>
                <c:pt idx="100">
                  <c:v>6910094.7236681599</c:v>
                </c:pt>
                <c:pt idx="101">
                  <c:v>7142371.9099221975</c:v>
                </c:pt>
                <c:pt idx="102">
                  <c:v>7919164.3941615801</c:v>
                </c:pt>
                <c:pt idx="103">
                  <c:v>7565891.476120282</c:v>
                </c:pt>
                <c:pt idx="104">
                  <c:v>6690168.5307546901</c:v>
                </c:pt>
                <c:pt idx="105">
                  <c:v>6650785.895106582</c:v>
                </c:pt>
                <c:pt idx="106">
                  <c:v>7520751.6161883585</c:v>
                </c:pt>
                <c:pt idx="107">
                  <c:v>8034338.4015064444</c:v>
                </c:pt>
                <c:pt idx="108">
                  <c:v>8079030.3343234919</c:v>
                </c:pt>
                <c:pt idx="109">
                  <c:v>8122367.2274003308</c:v>
                </c:pt>
                <c:pt idx="110">
                  <c:v>7282811.9709551809</c:v>
                </c:pt>
                <c:pt idx="111">
                  <c:v>6618439.2828101115</c:v>
                </c:pt>
                <c:pt idx="112">
                  <c:v>6456593.1157334661</c:v>
                </c:pt>
                <c:pt idx="113">
                  <c:v>7145072.4099889584</c:v>
                </c:pt>
                <c:pt idx="114">
                  <c:v>7853887.2878275309</c:v>
                </c:pt>
                <c:pt idx="115">
                  <c:v>7431057.295599727</c:v>
                </c:pt>
                <c:pt idx="116">
                  <c:v>6457633.5422838964</c:v>
                </c:pt>
                <c:pt idx="117">
                  <c:v>6477784.4234600803</c:v>
                </c:pt>
                <c:pt idx="118">
                  <c:v>6763420.8000176372</c:v>
                </c:pt>
                <c:pt idx="119">
                  <c:v>7919419.3747877143</c:v>
                </c:pt>
                <c:pt idx="120">
                  <c:v>8289315.6595255341</c:v>
                </c:pt>
                <c:pt idx="121">
                  <c:v>8573963.1683601253</c:v>
                </c:pt>
                <c:pt idx="122">
                  <c:v>7865393.5863960665</c:v>
                </c:pt>
                <c:pt idx="123">
                  <c:v>7409132.4325716095</c:v>
                </c:pt>
                <c:pt idx="124">
                  <c:v>7367866.5300032487</c:v>
                </c:pt>
                <c:pt idx="125">
                  <c:v>7923351.3436667435</c:v>
                </c:pt>
                <c:pt idx="126">
                  <c:v>7892703.9054347761</c:v>
                </c:pt>
                <c:pt idx="127">
                  <c:v>8395550.6622963417</c:v>
                </c:pt>
                <c:pt idx="128">
                  <c:v>7238950.049945334</c:v>
                </c:pt>
                <c:pt idx="129">
                  <c:v>7116774.9813139923</c:v>
                </c:pt>
                <c:pt idx="130">
                  <c:v>7620413.334148691</c:v>
                </c:pt>
                <c:pt idx="131">
                  <c:v>8252506.7455614917</c:v>
                </c:pt>
                <c:pt idx="132">
                  <c:v>8973274.9369249493</c:v>
                </c:pt>
                <c:pt idx="133">
                  <c:v>8821618.4646423087</c:v>
                </c:pt>
                <c:pt idx="134">
                  <c:v>8470008.9193696454</c:v>
                </c:pt>
                <c:pt idx="135">
                  <c:v>7857941.9192644758</c:v>
                </c:pt>
                <c:pt idx="136">
                  <c:v>7629306.1745864637</c:v>
                </c:pt>
                <c:pt idx="137">
                  <c:v>7942396.5722210687</c:v>
                </c:pt>
                <c:pt idx="138">
                  <c:v>8430744.0137924924</c:v>
                </c:pt>
                <c:pt idx="139">
                  <c:v>8306792.0130792381</c:v>
                </c:pt>
                <c:pt idx="140">
                  <c:v>7479539.6734467363</c:v>
                </c:pt>
                <c:pt idx="141">
                  <c:v>7359757.9812976429</c:v>
                </c:pt>
                <c:pt idx="142">
                  <c:v>7906711.8388897739</c:v>
                </c:pt>
                <c:pt idx="143">
                  <c:v>8695451.3835787997</c:v>
                </c:pt>
                <c:pt idx="144">
                  <c:v>9175962.195714755</c:v>
                </c:pt>
                <c:pt idx="145">
                  <c:v>9024710.3319029883</c:v>
                </c:pt>
                <c:pt idx="146">
                  <c:v>8673506.0014392994</c:v>
                </c:pt>
                <c:pt idx="147">
                  <c:v>8061844.8233898431</c:v>
                </c:pt>
                <c:pt idx="148">
                  <c:v>7833615.5089242887</c:v>
                </c:pt>
                <c:pt idx="149">
                  <c:v>8147112.9458394749</c:v>
                </c:pt>
                <c:pt idx="150">
                  <c:v>8635868.0366723388</c:v>
                </c:pt>
                <c:pt idx="151">
                  <c:v>8512324.296115486</c:v>
                </c:pt>
                <c:pt idx="152">
                  <c:v>7685480.828449823</c:v>
                </c:pt>
                <c:pt idx="153">
                  <c:v>7566108.6209948547</c:v>
                </c:pt>
                <c:pt idx="154">
                  <c:v>8113472.5769266132</c:v>
                </c:pt>
                <c:pt idx="155">
                  <c:v>8902622.8345203679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C-42C7-B1F0-A5EB75A7E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3485000"/>
        <c:axId val="923482704"/>
      </c:lineChart>
      <c:dateAx>
        <c:axId val="923485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2704"/>
        <c:crosses val="autoZero"/>
        <c:auto val="1"/>
        <c:lblOffset val="100"/>
        <c:baseTimeUnit val="months"/>
      </c:dateAx>
      <c:valAx>
        <c:axId val="92348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5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Unmetered Loads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'Rate Class Customer Model'!$W$4:$W$25</c:f>
              <c:numCache>
                <c:formatCode>_(* #,##0_);_(* \(#,##0\);_(* "-"??_);_(@_)</c:formatCode>
                <c:ptCount val="22"/>
                <c:pt idx="0">
                  <c:v>0</c:v>
                </c:pt>
                <c:pt idx="1">
                  <c:v>55</c:v>
                </c:pt>
                <c:pt idx="2">
                  <c:v>112</c:v>
                </c:pt>
                <c:pt idx="3">
                  <c:v>118</c:v>
                </c:pt>
                <c:pt idx="4">
                  <c:v>129.5</c:v>
                </c:pt>
                <c:pt idx="5">
                  <c:v>138</c:v>
                </c:pt>
                <c:pt idx="6">
                  <c:v>140.5</c:v>
                </c:pt>
                <c:pt idx="7">
                  <c:v>155.28371161548731</c:v>
                </c:pt>
                <c:pt idx="8">
                  <c:v>172.50019955114414</c:v>
                </c:pt>
                <c:pt idx="9">
                  <c:v>179.7164879356568</c:v>
                </c:pt>
                <c:pt idx="10">
                  <c:v>183.5</c:v>
                </c:pt>
                <c:pt idx="11">
                  <c:v>185.5</c:v>
                </c:pt>
                <c:pt idx="12">
                  <c:v>189.5</c:v>
                </c:pt>
                <c:pt idx="13">
                  <c:v>192</c:v>
                </c:pt>
                <c:pt idx="14">
                  <c:v>190.5</c:v>
                </c:pt>
                <c:pt idx="15">
                  <c:v>207.16666666666666</c:v>
                </c:pt>
                <c:pt idx="16">
                  <c:v>222.41666666666666</c:v>
                </c:pt>
                <c:pt idx="17">
                  <c:v>215.58333333333334</c:v>
                </c:pt>
                <c:pt idx="18">
                  <c:v>219.08333333333334</c:v>
                </c:pt>
                <c:pt idx="19">
                  <c:v>216.66666666666666</c:v>
                </c:pt>
                <c:pt idx="20">
                  <c:v>215.75</c:v>
                </c:pt>
                <c:pt idx="21">
                  <c:v>216.41666666666666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D8-4843-8612-32CB33CB0B6D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('Rate Class Customer Model'!$D$4:$D$25,'Rate Class Customer Model'!$W$40:$W$41)</c:f>
              <c:numCache>
                <c:formatCode>_(* #,##0_);_(* \(#,##0\);_(* "-"??_);_(@_)</c:formatCode>
                <c:ptCount val="24"/>
                <c:pt idx="22" formatCode="#,##0">
                  <c:v>219.59999999999994</c:v>
                </c:pt>
                <c:pt idx="23" formatCode="#,##0">
                  <c:v>222.86475388975543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D8-4843-8612-32CB33CB0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catAx>
        <c:axId val="525987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Algn val="ctr"/>
        <c:lblOffset val="100"/>
        <c:noMultiLvlLbl val="0"/>
      </c:cat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1,000-4,999 (monthly)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Model'!$A$48:$A$83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'Rate Class Customer Model'!$K$48:$K$59</c:f>
              <c:numCache>
                <c:formatCode>#,##0</c:formatCode>
                <c:ptCount val="12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14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9B-42C0-966F-E5DBE67DE589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Model'!$A$48:$A$83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('Rate Class Customer Model'!$D$48:$D$59,'Rate Class Customer Model'!$K$60:$K$83)</c:f>
              <c:numCache>
                <c:formatCode>#,##0</c:formatCode>
                <c:ptCount val="36"/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12</c:v>
                </c:pt>
                <c:pt idx="25">
                  <c:v>12</c:v>
                </c:pt>
                <c:pt idx="26">
                  <c:v>12</c:v>
                </c:pt>
                <c:pt idx="27">
                  <c:v>12</c:v>
                </c:pt>
                <c:pt idx="28">
                  <c:v>12</c:v>
                </c:pt>
                <c:pt idx="29">
                  <c:v>12</c:v>
                </c:pt>
                <c:pt idx="30">
                  <c:v>12</c:v>
                </c:pt>
                <c:pt idx="31">
                  <c:v>12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9B-42C0-966F-E5DBE67DE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dateAx>
        <c:axId val="525987719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Offset val="100"/>
        <c:baseTimeUnit val="months"/>
      </c:date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&lt; 50</a:t>
            </a:r>
            <a:r>
              <a:rPr lang="en-US" baseline="0"/>
              <a:t> (m</a:t>
            </a:r>
            <a:r>
              <a:rPr lang="en-US"/>
              <a:t>onthly)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Model'!$A$48:$A$83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'Rate Class Customer Model'!$E$48:$E$59</c:f>
              <c:numCache>
                <c:formatCode>#,##0</c:formatCode>
                <c:ptCount val="12"/>
                <c:pt idx="0">
                  <c:v>2807</c:v>
                </c:pt>
                <c:pt idx="1">
                  <c:v>2848</c:v>
                </c:pt>
                <c:pt idx="2">
                  <c:v>2849</c:v>
                </c:pt>
                <c:pt idx="3">
                  <c:v>2861</c:v>
                </c:pt>
                <c:pt idx="4">
                  <c:v>2864</c:v>
                </c:pt>
                <c:pt idx="5">
                  <c:v>2867</c:v>
                </c:pt>
                <c:pt idx="6">
                  <c:v>2870</c:v>
                </c:pt>
                <c:pt idx="7">
                  <c:v>2898</c:v>
                </c:pt>
                <c:pt idx="8">
                  <c:v>2914</c:v>
                </c:pt>
                <c:pt idx="9">
                  <c:v>2906</c:v>
                </c:pt>
                <c:pt idx="10">
                  <c:v>2907</c:v>
                </c:pt>
                <c:pt idx="11">
                  <c:v>2918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23-4EDD-AE3E-2C58543C2769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Model'!$A$48:$A$83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('Rate Class Customer Model'!$D$48:$D$59,'Rate Class Customer Model'!$E$60:$E$83)</c:f>
              <c:numCache>
                <c:formatCode>#,##0</c:formatCode>
                <c:ptCount val="36"/>
                <c:pt idx="12">
                  <c:v>2922.3728559552128</c:v>
                </c:pt>
                <c:pt idx="13">
                  <c:v>2926.7522649841762</c:v>
                </c:pt>
                <c:pt idx="14">
                  <c:v>2931.1382369071948</c:v>
                </c:pt>
                <c:pt idx="15">
                  <c:v>2935.5307815592892</c:v>
                </c:pt>
                <c:pt idx="16">
                  <c:v>2939.9299087902186</c:v>
                </c:pt>
                <c:pt idx="17">
                  <c:v>2944.3356284645029</c:v>
                </c:pt>
                <c:pt idx="18">
                  <c:v>2948.7479504614444</c:v>
                </c:pt>
                <c:pt idx="19">
                  <c:v>2953.1668846751513</c:v>
                </c:pt>
                <c:pt idx="20">
                  <c:v>2957.5924410145581</c:v>
                </c:pt>
                <c:pt idx="21">
                  <c:v>2962.0246294034487</c:v>
                </c:pt>
                <c:pt idx="22">
                  <c:v>2966.4634597804788</c:v>
                </c:pt>
                <c:pt idx="23">
                  <c:v>2970.9089420991977</c:v>
                </c:pt>
                <c:pt idx="24">
                  <c:v>2975.3610863280715</c:v>
                </c:pt>
                <c:pt idx="25">
                  <c:v>2979.8199024505038</c:v>
                </c:pt>
                <c:pt idx="26">
                  <c:v>2984.2854004648602</c:v>
                </c:pt>
                <c:pt idx="27">
                  <c:v>2988.757590384489</c:v>
                </c:pt>
                <c:pt idx="28">
                  <c:v>2993.2364822377444</c:v>
                </c:pt>
                <c:pt idx="29">
                  <c:v>2997.7220860680095</c:v>
                </c:pt>
                <c:pt idx="30">
                  <c:v>3002.2144119337172</c:v>
                </c:pt>
                <c:pt idx="31">
                  <c:v>3006.7134699083745</c:v>
                </c:pt>
                <c:pt idx="32">
                  <c:v>3011.219270080584</c:v>
                </c:pt>
                <c:pt idx="33">
                  <c:v>3015.7318225540671</c:v>
                </c:pt>
                <c:pt idx="34">
                  <c:v>3020.2511374476858</c:v>
                </c:pt>
                <c:pt idx="35">
                  <c:v>3024.777224895467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23-4EDD-AE3E-2C58543C2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dateAx>
        <c:axId val="525987719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Offset val="100"/>
        <c:baseTimeUnit val="months"/>
      </c:date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50</a:t>
            </a:r>
            <a:r>
              <a:rPr lang="en-US" baseline="0"/>
              <a:t>-999(m</a:t>
            </a:r>
            <a:r>
              <a:rPr lang="en-US"/>
              <a:t>onthly)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Model'!$A$48:$A$83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'Rate Class Customer Model'!$H$48:$H$59</c:f>
              <c:numCache>
                <c:formatCode>#,##0</c:formatCode>
                <c:ptCount val="12"/>
                <c:pt idx="0">
                  <c:v>359</c:v>
                </c:pt>
                <c:pt idx="1">
                  <c:v>359</c:v>
                </c:pt>
                <c:pt idx="2">
                  <c:v>359</c:v>
                </c:pt>
                <c:pt idx="3">
                  <c:v>359</c:v>
                </c:pt>
                <c:pt idx="4">
                  <c:v>359</c:v>
                </c:pt>
                <c:pt idx="5">
                  <c:v>360</c:v>
                </c:pt>
                <c:pt idx="6">
                  <c:v>360</c:v>
                </c:pt>
                <c:pt idx="7">
                  <c:v>331</c:v>
                </c:pt>
                <c:pt idx="8">
                  <c:v>320</c:v>
                </c:pt>
                <c:pt idx="9">
                  <c:v>320</c:v>
                </c:pt>
                <c:pt idx="10">
                  <c:v>322</c:v>
                </c:pt>
                <c:pt idx="11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34-4359-8E6D-0D165F71A880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Model'!$A$48:$A$83</c:f>
              <c:numCache>
                <c:formatCode>mmm\-yy</c:formatCode>
                <c:ptCount val="36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</c:numCache>
            </c:numRef>
          </c:cat>
          <c:val>
            <c:numRef>
              <c:f>('Rate Class Customer Model'!$D$48:$D$59,'Rate Class Customer Model'!$H$60:$H$83)</c:f>
              <c:numCache>
                <c:formatCode>#,##0</c:formatCode>
                <c:ptCount val="36"/>
                <c:pt idx="12">
                  <c:v>327.89165950580741</c:v>
                </c:pt>
                <c:pt idx="13">
                  <c:v>328.78575037759128</c:v>
                </c:pt>
                <c:pt idx="14">
                  <c:v>329.68227924516987</c:v>
                </c:pt>
                <c:pt idx="15">
                  <c:v>330.5812527564396</c:v>
                </c:pt>
                <c:pt idx="16">
                  <c:v>331.48267757742428</c:v>
                </c:pt>
                <c:pt idx="17">
                  <c:v>332.38656039232461</c:v>
                </c:pt>
                <c:pt idx="18">
                  <c:v>333.29290790356754</c:v>
                </c:pt>
                <c:pt idx="19">
                  <c:v>334.20172683185626</c:v>
                </c:pt>
                <c:pt idx="20">
                  <c:v>335.11302391621979</c:v>
                </c:pt>
                <c:pt idx="21">
                  <c:v>336.02680591406312</c:v>
                </c:pt>
                <c:pt idx="22">
                  <c:v>336.94307960121716</c:v>
                </c:pt>
                <c:pt idx="23">
                  <c:v>337.86185177198917</c:v>
                </c:pt>
                <c:pt idx="24">
                  <c:v>338.783129239213</c:v>
                </c:pt>
                <c:pt idx="25">
                  <c:v>339.70691883429964</c:v>
                </c:pt>
                <c:pt idx="26">
                  <c:v>340.63322740728785</c:v>
                </c:pt>
                <c:pt idx="27">
                  <c:v>341.5620618268951</c:v>
                </c:pt>
                <c:pt idx="28">
                  <c:v>342.4934289805683</c:v>
                </c:pt>
                <c:pt idx="29">
                  <c:v>343.42733577453498</c:v>
                </c:pt>
                <c:pt idx="30">
                  <c:v>344.36378913385448</c:v>
                </c:pt>
                <c:pt idx="31">
                  <c:v>345.30279600246934</c:v>
                </c:pt>
                <c:pt idx="32">
                  <c:v>346.24436334325674</c:v>
                </c:pt>
                <c:pt idx="33">
                  <c:v>347.18849813808015</c:v>
                </c:pt>
                <c:pt idx="34">
                  <c:v>348.13520738784104</c:v>
                </c:pt>
                <c:pt idx="35">
                  <c:v>349.08449811253098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34-4359-8E6D-0D165F71A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dateAx>
        <c:axId val="525987719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Offset val="100"/>
        <c:baseTimeUnit val="months"/>
      </c:date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kW/kWh Ratios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'Rate Class Load Model'!$B$1</c:f>
              <c:strCache>
                <c:ptCount val="1"/>
                <c:pt idx="0">
                  <c:v>General Service &gt; 50 to 999 kW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'Rate Class Load Model'!$B$21:$B$31</c:f>
              <c:numCache>
                <c:formatCode>0.0000%</c:formatCode>
                <c:ptCount val="11"/>
                <c:pt idx="0">
                  <c:v>2.6103525778080933E-3</c:v>
                </c:pt>
                <c:pt idx="1">
                  <c:v>2.6817439904757239E-3</c:v>
                </c:pt>
                <c:pt idx="2">
                  <c:v>2.6664564308733901E-3</c:v>
                </c:pt>
                <c:pt idx="3">
                  <c:v>2.6205524728064667E-3</c:v>
                </c:pt>
                <c:pt idx="4">
                  <c:v>2.6925708295444813E-3</c:v>
                </c:pt>
                <c:pt idx="5">
                  <c:v>2.7316135088635619E-3</c:v>
                </c:pt>
                <c:pt idx="6">
                  <c:v>2.7052696281793008E-3</c:v>
                </c:pt>
                <c:pt idx="7">
                  <c:v>2.6971774951791367E-3</c:v>
                </c:pt>
                <c:pt idx="8">
                  <c:v>2.6895910779380951E-3</c:v>
                </c:pt>
                <c:pt idx="9">
                  <c:v>2.7039514246426925E-3</c:v>
                </c:pt>
                <c:pt idx="10">
                  <c:v>2.7087565224391762E-3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73-488F-BFF6-EE70A48A2413}"/>
            </c:ext>
          </c:extLst>
        </c:ser>
        <c:ser>
          <c:idx val="2"/>
          <c:order val="1"/>
          <c:tx>
            <c:strRef>
              <c:f>'Rate Class Load Model'!$C$1</c:f>
              <c:strCache>
                <c:ptCount val="1"/>
                <c:pt idx="0">
                  <c:v>General Service &gt; 1000 to 4999 kW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'Rate Class Load Model'!$C$21:$C$31</c:f>
              <c:numCache>
                <c:formatCode>0.0000%</c:formatCode>
                <c:ptCount val="11"/>
                <c:pt idx="0">
                  <c:v>2.1495544175129827E-3</c:v>
                </c:pt>
                <c:pt idx="1">
                  <c:v>2.2265725830308176E-3</c:v>
                </c:pt>
                <c:pt idx="2">
                  <c:v>2.3122517819095557E-3</c:v>
                </c:pt>
                <c:pt idx="3">
                  <c:v>2.196367346208991E-3</c:v>
                </c:pt>
                <c:pt idx="4">
                  <c:v>2.2565373900444064E-3</c:v>
                </c:pt>
                <c:pt idx="5">
                  <c:v>2.2600063825422728E-3</c:v>
                </c:pt>
                <c:pt idx="6">
                  <c:v>2.2908876044535633E-3</c:v>
                </c:pt>
                <c:pt idx="7">
                  <c:v>2.2221998338221656E-3</c:v>
                </c:pt>
                <c:pt idx="8">
                  <c:v>2.2013224093965994E-3</c:v>
                </c:pt>
                <c:pt idx="9">
                  <c:v>2.160819272550029E-3</c:v>
                </c:pt>
                <c:pt idx="10">
                  <c:v>2.0106773080965893E-3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73-488F-BFF6-EE70A48A2413}"/>
            </c:ext>
          </c:extLst>
        </c:ser>
        <c:ser>
          <c:idx val="3"/>
          <c:order val="2"/>
          <c:tx>
            <c:strRef>
              <c:f>'Rate Class Load Model'!$D$1</c:f>
              <c:strCache>
                <c:ptCount val="1"/>
                <c:pt idx="0">
                  <c:v>Large User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'Rate Class Load Model'!$D$21:$D$31</c:f>
              <c:numCache>
                <c:formatCode>0.0000%</c:formatCode>
                <c:ptCount val="11"/>
                <c:pt idx="0">
                  <c:v>2.1831287867111618E-3</c:v>
                </c:pt>
                <c:pt idx="1">
                  <c:v>2.0790800944596537E-3</c:v>
                </c:pt>
                <c:pt idx="2">
                  <c:v>1.9282392068658341E-3</c:v>
                </c:pt>
                <c:pt idx="3">
                  <c:v>1.9006623753635842E-3</c:v>
                </c:pt>
                <c:pt idx="4">
                  <c:v>1.8548617900017409E-3</c:v>
                </c:pt>
                <c:pt idx="5">
                  <c:v>1.8527121232061396E-3</c:v>
                </c:pt>
                <c:pt idx="6">
                  <c:v>1.9169148956665089E-3</c:v>
                </c:pt>
                <c:pt idx="7">
                  <c:v>1.941705700281352E-3</c:v>
                </c:pt>
                <c:pt idx="8">
                  <c:v>1.9525925032579277E-3</c:v>
                </c:pt>
                <c:pt idx="9">
                  <c:v>2.0765768643328931E-3</c:v>
                </c:pt>
                <c:pt idx="10">
                  <c:v>2.0272389459372406E-3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73-488F-BFF6-EE70A48A2413}"/>
            </c:ext>
          </c:extLst>
        </c:ser>
        <c:ser>
          <c:idx val="4"/>
          <c:order val="3"/>
          <c:tx>
            <c:strRef>
              <c:f>'Rate Class Load Model'!$E$1</c:f>
              <c:strCache>
                <c:ptCount val="1"/>
                <c:pt idx="0">
                  <c:v>Streetlights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'Rate Class Load Model'!$E$21:$E$31</c:f>
              <c:numCache>
                <c:formatCode>0.0000%</c:formatCode>
                <c:ptCount val="11"/>
                <c:pt idx="0">
                  <c:v>2.7878718382878536E-3</c:v>
                </c:pt>
                <c:pt idx="1">
                  <c:v>2.7798337981264211E-3</c:v>
                </c:pt>
                <c:pt idx="2">
                  <c:v>2.7900647957117366E-3</c:v>
                </c:pt>
                <c:pt idx="3">
                  <c:v>2.7863001425492218E-3</c:v>
                </c:pt>
                <c:pt idx="4">
                  <c:v>2.8091793584711518E-3</c:v>
                </c:pt>
                <c:pt idx="5">
                  <c:v>2.7839501708478141E-3</c:v>
                </c:pt>
                <c:pt idx="6">
                  <c:v>2.8227305510365522E-3</c:v>
                </c:pt>
                <c:pt idx="7">
                  <c:v>2.7901743764745844E-3</c:v>
                </c:pt>
                <c:pt idx="8">
                  <c:v>2.7913619565384179E-3</c:v>
                </c:pt>
                <c:pt idx="9">
                  <c:v>2.7844449374749259E-3</c:v>
                </c:pt>
                <c:pt idx="10">
                  <c:v>2.7871252307481256E-3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73-488F-BFF6-EE70A48A2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3407040"/>
        <c:axId val="763407368"/>
      </c:lineChart>
      <c:catAx>
        <c:axId val="76340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407368"/>
        <c:crosses val="autoZero"/>
        <c:auto val="1"/>
        <c:lblAlgn val="ctr"/>
        <c:lblOffset val="100"/>
        <c:noMultiLvlLbl val="0"/>
      </c:catAx>
      <c:valAx>
        <c:axId val="763407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40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50-999  </a:t>
            </a:r>
          </a:p>
          <a:p>
            <a:pPr>
              <a:defRPr/>
            </a:pPr>
            <a:r>
              <a:rPr lang="en-US"/>
              <a:t>kW/kWh Ratio</a:t>
            </a:r>
          </a:p>
        </c:rich>
      </c:tx>
      <c:layout>
        <c:manualLayout>
          <c:xMode val="edge"/>
          <c:yMode val="edge"/>
          <c:x val="0.40817802503477052"/>
          <c:y val="4.55486542443064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'Rate Class Load Model'!$B$1</c:f>
              <c:strCache>
                <c:ptCount val="1"/>
                <c:pt idx="0">
                  <c:v>General Service &gt; 50 to 999 kW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Model'!$A$21:$A$33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'Rate Class Load Model'!$B$21:$B$31</c:f>
              <c:numCache>
                <c:formatCode>0.0000%</c:formatCode>
                <c:ptCount val="11"/>
                <c:pt idx="0">
                  <c:v>2.6103525778080933E-3</c:v>
                </c:pt>
                <c:pt idx="1">
                  <c:v>2.6817439904757239E-3</c:v>
                </c:pt>
                <c:pt idx="2">
                  <c:v>2.6664564308733901E-3</c:v>
                </c:pt>
                <c:pt idx="3">
                  <c:v>2.6205524728064667E-3</c:v>
                </c:pt>
                <c:pt idx="4">
                  <c:v>2.6925708295444813E-3</c:v>
                </c:pt>
                <c:pt idx="5">
                  <c:v>2.7316135088635619E-3</c:v>
                </c:pt>
                <c:pt idx="6">
                  <c:v>2.7052696281793008E-3</c:v>
                </c:pt>
                <c:pt idx="7">
                  <c:v>2.6971774951791367E-3</c:v>
                </c:pt>
                <c:pt idx="8">
                  <c:v>2.6895910779380951E-3</c:v>
                </c:pt>
                <c:pt idx="9">
                  <c:v>2.7039514246426925E-3</c:v>
                </c:pt>
                <c:pt idx="10">
                  <c:v>2.7087565224391762E-3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44-4398-9AF3-D502C63BD821}"/>
            </c:ext>
          </c:extLst>
        </c:ser>
        <c:ser>
          <c:idx val="0"/>
          <c:order val="1"/>
          <c:tx>
            <c:v>Forecast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Model'!$A$21:$A$33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('Rate Class Load Model'!$G$21:$G$31,'Rate Class Load Model'!$B$32:$B$33)</c:f>
              <c:numCache>
                <c:formatCode>#,##0</c:formatCode>
                <c:ptCount val="13"/>
                <c:pt idx="11" formatCode="0.0000%">
                  <c:v>2.6897683380942023E-3</c:v>
                </c:pt>
                <c:pt idx="12" formatCode="0.0000%">
                  <c:v>2.6897683380942023E-3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944-4398-9AF3-D502C63BD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3407040"/>
        <c:axId val="763407368"/>
      </c:lineChart>
      <c:catAx>
        <c:axId val="76340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407368"/>
        <c:crosses val="autoZero"/>
        <c:auto val="1"/>
        <c:lblAlgn val="ctr"/>
        <c:lblOffset val="100"/>
        <c:noMultiLvlLbl val="0"/>
      </c:catAx>
      <c:valAx>
        <c:axId val="763407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40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1,000-4,999 </a:t>
            </a:r>
          </a:p>
          <a:p>
            <a:pPr>
              <a:defRPr/>
            </a:pPr>
            <a:r>
              <a:rPr lang="en-US"/>
              <a:t>kW/kWh Ratio</a:t>
            </a:r>
          </a:p>
        </c:rich>
      </c:tx>
      <c:layout>
        <c:manualLayout>
          <c:xMode val="edge"/>
          <c:yMode val="edge"/>
          <c:x val="0.40817802503477052"/>
          <c:y val="4.55486542443064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'Rate Class Load Model'!$B$1</c:f>
              <c:strCache>
                <c:ptCount val="1"/>
                <c:pt idx="0">
                  <c:v>General Service &gt; 50 to 999 kW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Model'!$A$21:$A$33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'Rate Class Load Model'!$C$21:$C$31</c:f>
              <c:numCache>
                <c:formatCode>0.0000%</c:formatCode>
                <c:ptCount val="11"/>
                <c:pt idx="0">
                  <c:v>2.1495544175129827E-3</c:v>
                </c:pt>
                <c:pt idx="1">
                  <c:v>2.2265725830308176E-3</c:v>
                </c:pt>
                <c:pt idx="2">
                  <c:v>2.3122517819095557E-3</c:v>
                </c:pt>
                <c:pt idx="3">
                  <c:v>2.196367346208991E-3</c:v>
                </c:pt>
                <c:pt idx="4">
                  <c:v>2.2565373900444064E-3</c:v>
                </c:pt>
                <c:pt idx="5">
                  <c:v>2.2600063825422728E-3</c:v>
                </c:pt>
                <c:pt idx="6">
                  <c:v>2.2908876044535633E-3</c:v>
                </c:pt>
                <c:pt idx="7">
                  <c:v>2.2221998338221656E-3</c:v>
                </c:pt>
                <c:pt idx="8">
                  <c:v>2.2013224093965994E-3</c:v>
                </c:pt>
                <c:pt idx="9">
                  <c:v>2.160819272550029E-3</c:v>
                </c:pt>
                <c:pt idx="10">
                  <c:v>2.0106773080965893E-3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68-47C3-A6CB-C254E71D9B19}"/>
            </c:ext>
          </c:extLst>
        </c:ser>
        <c:ser>
          <c:idx val="0"/>
          <c:order val="1"/>
          <c:tx>
            <c:v>Forecast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Model'!$A$21:$A$33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('Rate Class Load Model'!$G$21:$G$31,'Rate Class Load Model'!$C$32:$C$33)</c:f>
              <c:numCache>
                <c:formatCode>#,##0</c:formatCode>
                <c:ptCount val="13"/>
                <c:pt idx="11" formatCode="0.0000%">
                  <c:v>2.1771812856637893E-3</c:v>
                </c:pt>
                <c:pt idx="12" formatCode="0.0000%">
                  <c:v>2.1771812856637893E-3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68-47C3-A6CB-C254E71D9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3407040"/>
        <c:axId val="763407368"/>
      </c:lineChart>
      <c:catAx>
        <c:axId val="76340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407368"/>
        <c:crosses val="autoZero"/>
        <c:auto val="1"/>
        <c:lblAlgn val="ctr"/>
        <c:lblOffset val="100"/>
        <c:noMultiLvlLbl val="0"/>
      </c:catAx>
      <c:valAx>
        <c:axId val="763407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40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Large User</a:t>
            </a:r>
          </a:p>
          <a:p>
            <a:pPr>
              <a:defRPr/>
            </a:pPr>
            <a:r>
              <a:rPr lang="en-US"/>
              <a:t>kW/kWh Ratio</a:t>
            </a:r>
          </a:p>
        </c:rich>
      </c:tx>
      <c:layout>
        <c:manualLayout>
          <c:xMode val="edge"/>
          <c:yMode val="edge"/>
          <c:x val="0.40817802503477052"/>
          <c:y val="4.55486542443064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'Rate Class Load Model'!$B$1</c:f>
              <c:strCache>
                <c:ptCount val="1"/>
                <c:pt idx="0">
                  <c:v>General Service &gt; 50 to 999 kW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Model'!$A$21:$A$33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'Rate Class Load Model'!$D$21:$D$31</c:f>
              <c:numCache>
                <c:formatCode>0.0000%</c:formatCode>
                <c:ptCount val="11"/>
                <c:pt idx="0">
                  <c:v>2.1831287867111618E-3</c:v>
                </c:pt>
                <c:pt idx="1">
                  <c:v>2.0790800944596537E-3</c:v>
                </c:pt>
                <c:pt idx="2">
                  <c:v>1.9282392068658341E-3</c:v>
                </c:pt>
                <c:pt idx="3">
                  <c:v>1.9006623753635842E-3</c:v>
                </c:pt>
                <c:pt idx="4">
                  <c:v>1.8548617900017409E-3</c:v>
                </c:pt>
                <c:pt idx="5">
                  <c:v>1.8527121232061396E-3</c:v>
                </c:pt>
                <c:pt idx="6">
                  <c:v>1.9169148956665089E-3</c:v>
                </c:pt>
                <c:pt idx="7">
                  <c:v>1.941705700281352E-3</c:v>
                </c:pt>
                <c:pt idx="8">
                  <c:v>1.9525925032579277E-3</c:v>
                </c:pt>
                <c:pt idx="9">
                  <c:v>2.0765768643328931E-3</c:v>
                </c:pt>
                <c:pt idx="10">
                  <c:v>2.0272389459372406E-3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12-4A84-8E3D-4C1EE5CD1D56}"/>
            </c:ext>
          </c:extLst>
        </c:ser>
        <c:ser>
          <c:idx val="0"/>
          <c:order val="1"/>
          <c:tx>
            <c:v>Forecast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Model'!$A$21:$A$33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('Rate Class Load Model'!$G$21:$G$31,'Rate Class Load Model'!$D$32:$D$33)</c:f>
              <c:numCache>
                <c:formatCode>#,##0</c:formatCode>
                <c:ptCount val="13"/>
                <c:pt idx="11" formatCode="0.0000%">
                  <c:v>1.9830057818951844E-3</c:v>
                </c:pt>
                <c:pt idx="12" formatCode="0.0000%">
                  <c:v>1.9830057818951844E-3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12-4A84-8E3D-4C1EE5CD1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3407040"/>
        <c:axId val="763407368"/>
      </c:lineChart>
      <c:catAx>
        <c:axId val="76340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407368"/>
        <c:crosses val="autoZero"/>
        <c:auto val="1"/>
        <c:lblAlgn val="ctr"/>
        <c:lblOffset val="100"/>
        <c:noMultiLvlLbl val="0"/>
      </c:catAx>
      <c:valAx>
        <c:axId val="763407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40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Street Lights</a:t>
            </a:r>
          </a:p>
          <a:p>
            <a:pPr>
              <a:defRPr/>
            </a:pPr>
            <a:r>
              <a:rPr lang="en-US"/>
              <a:t>kW/kWh Ratio</a:t>
            </a:r>
          </a:p>
        </c:rich>
      </c:tx>
      <c:layout>
        <c:manualLayout>
          <c:xMode val="edge"/>
          <c:yMode val="edge"/>
          <c:x val="0.40817802503477052"/>
          <c:y val="4.55486542443064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'Rate Class Load Model'!$B$1</c:f>
              <c:strCache>
                <c:ptCount val="1"/>
                <c:pt idx="0">
                  <c:v>General Service &gt; 50 to 999 kW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Model'!$A$21:$A$33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'Rate Class Load Model'!$E$21:$E$31</c:f>
              <c:numCache>
                <c:formatCode>0.0000%</c:formatCode>
                <c:ptCount val="11"/>
                <c:pt idx="0">
                  <c:v>2.7878718382878536E-3</c:v>
                </c:pt>
                <c:pt idx="1">
                  <c:v>2.7798337981264211E-3</c:v>
                </c:pt>
                <c:pt idx="2">
                  <c:v>2.7900647957117366E-3</c:v>
                </c:pt>
                <c:pt idx="3">
                  <c:v>2.7863001425492218E-3</c:v>
                </c:pt>
                <c:pt idx="4">
                  <c:v>2.8091793584711518E-3</c:v>
                </c:pt>
                <c:pt idx="5">
                  <c:v>2.7839501708478141E-3</c:v>
                </c:pt>
                <c:pt idx="6">
                  <c:v>2.8227305510365522E-3</c:v>
                </c:pt>
                <c:pt idx="7">
                  <c:v>2.7901743764745844E-3</c:v>
                </c:pt>
                <c:pt idx="8">
                  <c:v>2.7913619565384179E-3</c:v>
                </c:pt>
                <c:pt idx="9">
                  <c:v>2.7844449374749259E-3</c:v>
                </c:pt>
                <c:pt idx="10">
                  <c:v>2.7871252307481256E-3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6F-4309-AEF2-B2D4044565F5}"/>
            </c:ext>
          </c:extLst>
        </c:ser>
        <c:ser>
          <c:idx val="0"/>
          <c:order val="1"/>
          <c:tx>
            <c:v>Forecast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Model'!$A$21:$A$33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('Rate Class Load Model'!$G$21:$G$31,'Rate Class Load Model'!$E$32:$E$33)</c:f>
              <c:numCache>
                <c:formatCode>#,##0</c:formatCode>
                <c:ptCount val="13"/>
                <c:pt idx="11" formatCode="0.0000%">
                  <c:v>2.7925165317978949E-3</c:v>
                </c:pt>
                <c:pt idx="12" formatCode="0.0000%">
                  <c:v>2.7925165317978949E-3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6F-4309-AEF2-B2D404456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3407040"/>
        <c:axId val="763407368"/>
      </c:lineChart>
      <c:catAx>
        <c:axId val="76340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407368"/>
        <c:crosses val="autoZero"/>
        <c:auto val="1"/>
        <c:lblAlgn val="ctr"/>
        <c:lblOffset val="100"/>
        <c:noMultiLvlLbl val="0"/>
      </c:catAx>
      <c:valAx>
        <c:axId val="763407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40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Sentinel</a:t>
            </a:r>
          </a:p>
          <a:p>
            <a:pPr>
              <a:defRPr/>
            </a:pPr>
            <a:r>
              <a:rPr lang="en-US"/>
              <a:t>kW/kWh Ratio</a:t>
            </a:r>
          </a:p>
        </c:rich>
      </c:tx>
      <c:layout>
        <c:manualLayout>
          <c:xMode val="edge"/>
          <c:yMode val="edge"/>
          <c:x val="0.40817802503477052"/>
          <c:y val="4.55486542443064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'Rate Class Load Model'!$B$1</c:f>
              <c:strCache>
                <c:ptCount val="1"/>
                <c:pt idx="0">
                  <c:v>General Service &gt; 50 to 999 kW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Model'!$A$21:$A$33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'Rate Class Load Model'!$F$21:$F$31</c:f>
              <c:numCache>
                <c:formatCode>0.0000%</c:formatCode>
                <c:ptCount val="11"/>
                <c:pt idx="0">
                  <c:v>2.7777777777777779E-3</c:v>
                </c:pt>
                <c:pt idx="1">
                  <c:v>2.6488515485267811E-3</c:v>
                </c:pt>
                <c:pt idx="2">
                  <c:v>2.7777777777777779E-3</c:v>
                </c:pt>
                <c:pt idx="3">
                  <c:v>2.777783848310616E-3</c:v>
                </c:pt>
                <c:pt idx="4">
                  <c:v>2.861313185553856E-3</c:v>
                </c:pt>
                <c:pt idx="5">
                  <c:v>2.8535535600534346E-3</c:v>
                </c:pt>
                <c:pt idx="6">
                  <c:v>2.845614218256741E-3</c:v>
                </c:pt>
                <c:pt idx="7">
                  <c:v>2.8374888435548783E-3</c:v>
                </c:pt>
                <c:pt idx="8">
                  <c:v>2.8291708198109351E-3</c:v>
                </c:pt>
                <c:pt idx="9">
                  <c:v>2.8143225702704742E-3</c:v>
                </c:pt>
                <c:pt idx="10">
                  <c:v>2.778211873382994E-3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E8-4C83-9E68-D851E041D527}"/>
            </c:ext>
          </c:extLst>
        </c:ser>
        <c:ser>
          <c:idx val="0"/>
          <c:order val="1"/>
          <c:tx>
            <c:v>Forecast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Load Model'!$A$21:$A$33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('Rate Class Load Model'!$G$21:$G$31,'Rate Class Load Model'!$F$32:$F$33)</c:f>
              <c:numCache>
                <c:formatCode>#,##0</c:formatCode>
                <c:ptCount val="13"/>
                <c:pt idx="11" formatCode="0.0000%">
                  <c:v>2.802365414989327E-3</c:v>
                </c:pt>
                <c:pt idx="12" formatCode="0.0000%">
                  <c:v>2.802365414989327E-3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E8-4C83-9E68-D851E041D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3407040"/>
        <c:axId val="763407368"/>
      </c:lineChart>
      <c:catAx>
        <c:axId val="76340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407368"/>
        <c:crosses val="autoZero"/>
        <c:auto val="1"/>
        <c:lblAlgn val="ctr"/>
        <c:lblOffset val="100"/>
        <c:noMultiLvlLbl val="0"/>
      </c:catAx>
      <c:valAx>
        <c:axId val="763407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40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50-999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 &gt; 50 kW'!$F$2</c:f>
              <c:strCache>
                <c:ptCount val="1"/>
                <c:pt idx="0">
                  <c:v>GS50to999_NoCDM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'GS &gt; 50 kW'!$A$3:$A$128</c:f>
              <c:numCache>
                <c:formatCode>mmm\-yy</c:formatCode>
                <c:ptCount val="12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</c:numCache>
            </c:numRef>
          </c:cat>
          <c:val>
            <c:numRef>
              <c:f>'GS &gt; 50 kW'!$F$3:$F$128</c:f>
              <c:numCache>
                <c:formatCode>#,##0</c:formatCode>
                <c:ptCount val="126"/>
                <c:pt idx="0">
                  <c:v>16717266.821217919</c:v>
                </c:pt>
                <c:pt idx="1">
                  <c:v>15751669.901217917</c:v>
                </c:pt>
                <c:pt idx="2">
                  <c:v>16670464.701217921</c:v>
                </c:pt>
                <c:pt idx="3">
                  <c:v>14963148.60121792</c:v>
                </c:pt>
                <c:pt idx="4">
                  <c:v>15480338.171217926</c:v>
                </c:pt>
                <c:pt idx="5">
                  <c:v>16377529.561217919</c:v>
                </c:pt>
                <c:pt idx="6">
                  <c:v>17038934.041217919</c:v>
                </c:pt>
                <c:pt idx="7">
                  <c:v>16792927.091217916</c:v>
                </c:pt>
                <c:pt idx="8">
                  <c:v>15759561.551217917</c:v>
                </c:pt>
                <c:pt idx="9">
                  <c:v>15586290.931217926</c:v>
                </c:pt>
                <c:pt idx="10">
                  <c:v>15941400.461217923</c:v>
                </c:pt>
                <c:pt idx="11">
                  <c:v>16816631.181217916</c:v>
                </c:pt>
                <c:pt idx="12">
                  <c:v>16785266.463490896</c:v>
                </c:pt>
                <c:pt idx="13">
                  <c:v>16079301.203490896</c:v>
                </c:pt>
                <c:pt idx="14">
                  <c:v>16537471.803490892</c:v>
                </c:pt>
                <c:pt idx="15">
                  <c:v>14880264.923490893</c:v>
                </c:pt>
                <c:pt idx="16">
                  <c:v>17082202.913490895</c:v>
                </c:pt>
                <c:pt idx="17">
                  <c:v>16878400.213490888</c:v>
                </c:pt>
                <c:pt idx="18">
                  <c:v>17160081.253490891</c:v>
                </c:pt>
                <c:pt idx="19">
                  <c:v>16796041.313490894</c:v>
                </c:pt>
                <c:pt idx="20">
                  <c:v>15640179.133490894</c:v>
                </c:pt>
                <c:pt idx="21">
                  <c:v>15988881.633490898</c:v>
                </c:pt>
                <c:pt idx="22">
                  <c:v>16432215.043490896</c:v>
                </c:pt>
                <c:pt idx="23">
                  <c:v>16691357.483490892</c:v>
                </c:pt>
                <c:pt idx="24">
                  <c:v>17334132.91204248</c:v>
                </c:pt>
                <c:pt idx="25">
                  <c:v>16623683.162042486</c:v>
                </c:pt>
                <c:pt idx="26">
                  <c:v>17463321.022042483</c:v>
                </c:pt>
                <c:pt idx="27">
                  <c:v>16662389.712042477</c:v>
                </c:pt>
                <c:pt idx="28">
                  <c:v>16900534.112042483</c:v>
                </c:pt>
                <c:pt idx="29">
                  <c:v>17093096.532042481</c:v>
                </c:pt>
                <c:pt idx="30">
                  <c:v>18142506.432042487</c:v>
                </c:pt>
                <c:pt idx="31">
                  <c:v>17778187.962042481</c:v>
                </c:pt>
                <c:pt idx="32">
                  <c:v>16668477.222042486</c:v>
                </c:pt>
                <c:pt idx="33">
                  <c:v>17233627.082042478</c:v>
                </c:pt>
                <c:pt idx="34">
                  <c:v>16723236.692042481</c:v>
                </c:pt>
                <c:pt idx="35">
                  <c:v>18692544.082042485</c:v>
                </c:pt>
                <c:pt idx="36">
                  <c:v>18955499.508963756</c:v>
                </c:pt>
                <c:pt idx="37">
                  <c:v>17790077.53896375</c:v>
                </c:pt>
                <c:pt idx="38">
                  <c:v>18916153.298963755</c:v>
                </c:pt>
                <c:pt idx="39">
                  <c:v>17106261.98896376</c:v>
                </c:pt>
                <c:pt idx="40">
                  <c:v>16785651.398963757</c:v>
                </c:pt>
                <c:pt idx="41">
                  <c:v>17153006.328963753</c:v>
                </c:pt>
                <c:pt idx="42">
                  <c:v>17167656.628963754</c:v>
                </c:pt>
                <c:pt idx="43">
                  <c:v>17092221.068963751</c:v>
                </c:pt>
                <c:pt idx="44">
                  <c:v>16842020.668963756</c:v>
                </c:pt>
                <c:pt idx="45">
                  <c:v>16968667.128963754</c:v>
                </c:pt>
                <c:pt idx="46">
                  <c:v>17485013.278963756</c:v>
                </c:pt>
                <c:pt idx="47">
                  <c:v>18431183.118963756</c:v>
                </c:pt>
                <c:pt idx="48">
                  <c:v>19430730.418670163</c:v>
                </c:pt>
                <c:pt idx="49">
                  <c:v>18338750.900597889</c:v>
                </c:pt>
                <c:pt idx="50">
                  <c:v>18807365.387344867</c:v>
                </c:pt>
                <c:pt idx="51">
                  <c:v>17034456.596983433</c:v>
                </c:pt>
                <c:pt idx="52">
                  <c:v>17537336.143971372</c:v>
                </c:pt>
                <c:pt idx="53">
                  <c:v>17201197.724694267</c:v>
                </c:pt>
                <c:pt idx="54">
                  <c:v>18093211.662043665</c:v>
                </c:pt>
                <c:pt idx="55">
                  <c:v>17648873.695778605</c:v>
                </c:pt>
                <c:pt idx="56">
                  <c:v>17847440.221079815</c:v>
                </c:pt>
                <c:pt idx="57">
                  <c:v>16827940.095778607</c:v>
                </c:pt>
                <c:pt idx="58">
                  <c:v>16684572.645176196</c:v>
                </c:pt>
                <c:pt idx="59">
                  <c:v>16658204.809031619</c:v>
                </c:pt>
                <c:pt idx="60">
                  <c:v>18392987.23202993</c:v>
                </c:pt>
                <c:pt idx="61">
                  <c:v>17502931.916367285</c:v>
                </c:pt>
                <c:pt idx="62">
                  <c:v>17615636.032029931</c:v>
                </c:pt>
                <c:pt idx="63">
                  <c:v>16891925.130825114</c:v>
                </c:pt>
                <c:pt idx="64">
                  <c:v>16602755.501909452</c:v>
                </c:pt>
                <c:pt idx="65">
                  <c:v>17495167.299499799</c:v>
                </c:pt>
                <c:pt idx="66">
                  <c:v>18373376.195885357</c:v>
                </c:pt>
                <c:pt idx="67">
                  <c:v>19193976.494680539</c:v>
                </c:pt>
                <c:pt idx="68">
                  <c:v>17890059.858535945</c:v>
                </c:pt>
                <c:pt idx="69">
                  <c:v>16939090.046487764</c:v>
                </c:pt>
                <c:pt idx="70">
                  <c:v>17048086.017572101</c:v>
                </c:pt>
                <c:pt idx="71">
                  <c:v>18662560.716367282</c:v>
                </c:pt>
                <c:pt idx="72">
                  <c:v>19659234.081595186</c:v>
                </c:pt>
                <c:pt idx="73">
                  <c:v>17436974.630992774</c:v>
                </c:pt>
                <c:pt idx="74">
                  <c:v>19634422.014125314</c:v>
                </c:pt>
                <c:pt idx="75">
                  <c:v>17013785.724968679</c:v>
                </c:pt>
                <c:pt idx="76">
                  <c:v>18093877.252679512</c:v>
                </c:pt>
                <c:pt idx="77">
                  <c:v>19315178.650269885</c:v>
                </c:pt>
                <c:pt idx="78">
                  <c:v>19549131.777980741</c:v>
                </c:pt>
                <c:pt idx="79">
                  <c:v>19412331.565932523</c:v>
                </c:pt>
                <c:pt idx="80">
                  <c:v>19254316.134607218</c:v>
                </c:pt>
                <c:pt idx="81">
                  <c:v>18460397.773161445</c:v>
                </c:pt>
                <c:pt idx="82">
                  <c:v>18666476.115330122</c:v>
                </c:pt>
                <c:pt idx="83">
                  <c:v>19446811.238221694</c:v>
                </c:pt>
                <c:pt idx="84">
                  <c:v>21184390.447006177</c:v>
                </c:pt>
                <c:pt idx="85">
                  <c:v>18766666.803632692</c:v>
                </c:pt>
                <c:pt idx="86">
                  <c:v>17697661.348210998</c:v>
                </c:pt>
                <c:pt idx="87">
                  <c:v>19284257.097608585</c:v>
                </c:pt>
                <c:pt idx="88">
                  <c:v>19795859.748211004</c:v>
                </c:pt>
                <c:pt idx="89">
                  <c:v>21072458.919295345</c:v>
                </c:pt>
                <c:pt idx="90">
                  <c:v>20882452.104837507</c:v>
                </c:pt>
                <c:pt idx="91">
                  <c:v>21499366.514476053</c:v>
                </c:pt>
                <c:pt idx="92">
                  <c:v>19842338.148211002</c:v>
                </c:pt>
                <c:pt idx="93">
                  <c:v>19326961.830138713</c:v>
                </c:pt>
                <c:pt idx="94">
                  <c:v>19493164.066283286</c:v>
                </c:pt>
                <c:pt idx="95">
                  <c:v>20044221.165078472</c:v>
                </c:pt>
                <c:pt idx="96">
                  <c:v>21620563.218417685</c:v>
                </c:pt>
                <c:pt idx="97">
                  <c:v>19419033.849742986</c:v>
                </c:pt>
                <c:pt idx="98">
                  <c:v>20467345.232875522</c:v>
                </c:pt>
                <c:pt idx="99">
                  <c:v>18962848.172634561</c:v>
                </c:pt>
                <c:pt idx="100">
                  <c:v>19104958.755767088</c:v>
                </c:pt>
                <c:pt idx="101">
                  <c:v>18871763.652152628</c:v>
                </c:pt>
                <c:pt idx="102">
                  <c:v>21610925.483477946</c:v>
                </c:pt>
                <c:pt idx="103">
                  <c:v>20499002.408779137</c:v>
                </c:pt>
                <c:pt idx="104">
                  <c:v>19124595.555767093</c:v>
                </c:pt>
                <c:pt idx="105">
                  <c:v>19237444.143718898</c:v>
                </c:pt>
                <c:pt idx="106">
                  <c:v>19655626.620827332</c:v>
                </c:pt>
                <c:pt idx="107">
                  <c:v>20768680.182273109</c:v>
                </c:pt>
                <c:pt idx="108">
                  <c:v>22240497.13711904</c:v>
                </c:pt>
                <c:pt idx="109">
                  <c:v>20355118.476878062</c:v>
                </c:pt>
                <c:pt idx="110">
                  <c:v>19763421.609408177</c:v>
                </c:pt>
                <c:pt idx="111">
                  <c:v>17089130.553986501</c:v>
                </c:pt>
                <c:pt idx="112">
                  <c:v>17090225.378082871</c:v>
                </c:pt>
                <c:pt idx="113">
                  <c:v>18398254.573263608</c:v>
                </c:pt>
                <c:pt idx="114">
                  <c:v>20433793.725070819</c:v>
                </c:pt>
                <c:pt idx="115">
                  <c:v>19508210.264829874</c:v>
                </c:pt>
                <c:pt idx="116">
                  <c:v>18413970.168444328</c:v>
                </c:pt>
                <c:pt idx="117">
                  <c:v>18353398.004588902</c:v>
                </c:pt>
                <c:pt idx="118">
                  <c:v>18350168.269649133</c:v>
                </c:pt>
                <c:pt idx="119">
                  <c:v>19370101.339528672</c:v>
                </c:pt>
                <c:pt idx="120">
                  <c:v>20661840.874301441</c:v>
                </c:pt>
                <c:pt idx="121">
                  <c:v>19375614.165867694</c:v>
                </c:pt>
                <c:pt idx="122">
                  <c:v>19436199.679120708</c:v>
                </c:pt>
                <c:pt idx="123">
                  <c:v>17730405.462253235</c:v>
                </c:pt>
                <c:pt idx="124">
                  <c:v>17899844.845385753</c:v>
                </c:pt>
                <c:pt idx="125">
                  <c:v>19487327.052614685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4-4808-9BE8-F8FBC56C7ABA}"/>
            </c:ext>
          </c:extLst>
        </c:ser>
        <c:ser>
          <c:idx val="1"/>
          <c:order val="1"/>
          <c:tx>
            <c:strRef>
              <c:f>'GS &gt; 50 kW'!$M$2</c:f>
              <c:strCache>
                <c:ptCount val="1"/>
                <c:pt idx="0">
                  <c:v>Predicted Consumption + CDM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'GS &gt; 50 kW'!$A$3:$A$128</c:f>
              <c:numCache>
                <c:formatCode>mmm\-yy</c:formatCode>
                <c:ptCount val="12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</c:numCache>
            </c:numRef>
          </c:cat>
          <c:val>
            <c:numRef>
              <c:f>'GS &gt; 50 kW'!$M$3:$M$128</c:f>
              <c:numCache>
                <c:formatCode>#,##0_);\(#,##0\)</c:formatCode>
                <c:ptCount val="126"/>
                <c:pt idx="0">
                  <c:v>17704176.881215826</c:v>
                </c:pt>
                <c:pt idx="1">
                  <c:v>16134431.602486141</c:v>
                </c:pt>
                <c:pt idx="2">
                  <c:v>16636737.238252485</c:v>
                </c:pt>
                <c:pt idx="3">
                  <c:v>15179440.68554559</c:v>
                </c:pt>
                <c:pt idx="4">
                  <c:v>15680552.385555528</c:v>
                </c:pt>
                <c:pt idx="5">
                  <c:v>16159588.448901102</c:v>
                </c:pt>
                <c:pt idx="6">
                  <c:v>17678186.667873174</c:v>
                </c:pt>
                <c:pt idx="7">
                  <c:v>17206701.431476481</c:v>
                </c:pt>
                <c:pt idx="8">
                  <c:v>15957164.074078709</c:v>
                </c:pt>
                <c:pt idx="9">
                  <c:v>15709271.742274594</c:v>
                </c:pt>
                <c:pt idx="10">
                  <c:v>15450332.526532734</c:v>
                </c:pt>
                <c:pt idx="11">
                  <c:v>16633805.024327451</c:v>
                </c:pt>
                <c:pt idx="12">
                  <c:v>17029959.468131647</c:v>
                </c:pt>
                <c:pt idx="13">
                  <c:v>16002218.55741317</c:v>
                </c:pt>
                <c:pt idx="14">
                  <c:v>16082211.217232618</c:v>
                </c:pt>
                <c:pt idx="15">
                  <c:v>15435127.371335587</c:v>
                </c:pt>
                <c:pt idx="16">
                  <c:v>16215899.930060305</c:v>
                </c:pt>
                <c:pt idx="17">
                  <c:v>16575225.753332837</c:v>
                </c:pt>
                <c:pt idx="18">
                  <c:v>17807058.100963831</c:v>
                </c:pt>
                <c:pt idx="19">
                  <c:v>17291870.76003715</c:v>
                </c:pt>
                <c:pt idx="20">
                  <c:v>15998000.373416906</c:v>
                </c:pt>
                <c:pt idx="21">
                  <c:v>15968660.55537984</c:v>
                </c:pt>
                <c:pt idx="22">
                  <c:v>16273188.923348852</c:v>
                </c:pt>
                <c:pt idx="23">
                  <c:v>17106659.533293597</c:v>
                </c:pt>
                <c:pt idx="24">
                  <c:v>17611700.935337804</c:v>
                </c:pt>
                <c:pt idx="25">
                  <c:v>16729391.516273951</c:v>
                </c:pt>
                <c:pt idx="26">
                  <c:v>17310965.433667116</c:v>
                </c:pt>
                <c:pt idx="27">
                  <c:v>16160955.555022631</c:v>
                </c:pt>
                <c:pt idx="28">
                  <c:v>16721312.45649996</c:v>
                </c:pt>
                <c:pt idx="29">
                  <c:v>16914518.767814055</c:v>
                </c:pt>
                <c:pt idx="30">
                  <c:v>17990211.8160083</c:v>
                </c:pt>
                <c:pt idx="31">
                  <c:v>17737623.176271811</c:v>
                </c:pt>
                <c:pt idx="32">
                  <c:v>16431990.540581677</c:v>
                </c:pt>
                <c:pt idx="33">
                  <c:v>16515928.598515294</c:v>
                </c:pt>
                <c:pt idx="34">
                  <c:v>16877482.090420537</c:v>
                </c:pt>
                <c:pt idx="35">
                  <c:v>18239934.581084423</c:v>
                </c:pt>
                <c:pt idx="36">
                  <c:v>18968704.772239495</c:v>
                </c:pt>
                <c:pt idx="37">
                  <c:v>17574471.514944736</c:v>
                </c:pt>
                <c:pt idx="38">
                  <c:v>18303334.495148513</c:v>
                </c:pt>
                <c:pt idx="39">
                  <c:v>16382697.500956679</c:v>
                </c:pt>
                <c:pt idx="40">
                  <c:v>16703759.633383969</c:v>
                </c:pt>
                <c:pt idx="41">
                  <c:v>17176611.035864409</c:v>
                </c:pt>
                <c:pt idx="42">
                  <c:v>17624230.09390818</c:v>
                </c:pt>
                <c:pt idx="43">
                  <c:v>17641226.701339811</c:v>
                </c:pt>
                <c:pt idx="44">
                  <c:v>16572391.21843648</c:v>
                </c:pt>
                <c:pt idx="45">
                  <c:v>16410289.594570139</c:v>
                </c:pt>
                <c:pt idx="46">
                  <c:v>16972720.610292695</c:v>
                </c:pt>
                <c:pt idx="47">
                  <c:v>17656001.501660623</c:v>
                </c:pt>
                <c:pt idx="48">
                  <c:v>18902193.952843461</c:v>
                </c:pt>
                <c:pt idx="49">
                  <c:v>18349491.319058973</c:v>
                </c:pt>
                <c:pt idx="50">
                  <c:v>18135732.893504325</c:v>
                </c:pt>
                <c:pt idx="51">
                  <c:v>16510037.165930968</c:v>
                </c:pt>
                <c:pt idx="52">
                  <c:v>17371566.465707175</c:v>
                </c:pt>
                <c:pt idx="53">
                  <c:v>17332355.508922931</c:v>
                </c:pt>
                <c:pt idx="54">
                  <c:v>18611921.426621437</c:v>
                </c:pt>
                <c:pt idx="55">
                  <c:v>18521181.8006262</c:v>
                </c:pt>
                <c:pt idx="56">
                  <c:v>17921494.763033397</c:v>
                </c:pt>
                <c:pt idx="57">
                  <c:v>17112306.283602193</c:v>
                </c:pt>
                <c:pt idx="58">
                  <c:v>17036922.062338933</c:v>
                </c:pt>
                <c:pt idx="59">
                  <c:v>17683126.465210177</c:v>
                </c:pt>
                <c:pt idx="60">
                  <c:v>18937448.844841957</c:v>
                </c:pt>
                <c:pt idx="61">
                  <c:v>17818982.089255664</c:v>
                </c:pt>
                <c:pt idx="62">
                  <c:v>17921389.917379387</c:v>
                </c:pt>
                <c:pt idx="63">
                  <c:v>17247048.192130648</c:v>
                </c:pt>
                <c:pt idx="64">
                  <c:v>17611888.462978557</c:v>
                </c:pt>
                <c:pt idx="65">
                  <c:v>18154796.225366957</c:v>
                </c:pt>
                <c:pt idx="66">
                  <c:v>19328002.57596983</c:v>
                </c:pt>
                <c:pt idx="67">
                  <c:v>19460752.054716296</c:v>
                </c:pt>
                <c:pt idx="68">
                  <c:v>17999280.128685474</c:v>
                </c:pt>
                <c:pt idx="69">
                  <c:v>17588903.82278125</c:v>
                </c:pt>
                <c:pt idx="70">
                  <c:v>17132955.760313742</c:v>
                </c:pt>
                <c:pt idx="71">
                  <c:v>18785664.597605981</c:v>
                </c:pt>
                <c:pt idx="72">
                  <c:v>18826619.213414125</c:v>
                </c:pt>
                <c:pt idx="73">
                  <c:v>17497589.579327051</c:v>
                </c:pt>
                <c:pt idx="74">
                  <c:v>18856777.898302719</c:v>
                </c:pt>
                <c:pt idx="75">
                  <c:v>17273302.427919574</c:v>
                </c:pt>
                <c:pt idx="76">
                  <c:v>18169552.140206456</c:v>
                </c:pt>
                <c:pt idx="77">
                  <c:v>18773701.95148091</c:v>
                </c:pt>
                <c:pt idx="78">
                  <c:v>19667256.18533586</c:v>
                </c:pt>
                <c:pt idx="79">
                  <c:v>19368518.664465088</c:v>
                </c:pt>
                <c:pt idx="80">
                  <c:v>18764188.294816013</c:v>
                </c:pt>
                <c:pt idx="81">
                  <c:v>18545900.955499411</c:v>
                </c:pt>
                <c:pt idx="82">
                  <c:v>18630647.958933011</c:v>
                </c:pt>
                <c:pt idx="83">
                  <c:v>20528661.490129579</c:v>
                </c:pt>
                <c:pt idx="84">
                  <c:v>20567907.294566005</c:v>
                </c:pt>
                <c:pt idx="85">
                  <c:v>18730918.594839014</c:v>
                </c:pt>
                <c:pt idx="86">
                  <c:v>19689570.387520984</c:v>
                </c:pt>
                <c:pt idx="87">
                  <c:v>18789042.140501332</c:v>
                </c:pt>
                <c:pt idx="88">
                  <c:v>19174618.003537625</c:v>
                </c:pt>
                <c:pt idx="89">
                  <c:v>19276129.633000106</c:v>
                </c:pt>
                <c:pt idx="90">
                  <c:v>20583536.958516121</c:v>
                </c:pt>
                <c:pt idx="91">
                  <c:v>20376935.009129584</c:v>
                </c:pt>
                <c:pt idx="92">
                  <c:v>19014870.069172814</c:v>
                </c:pt>
                <c:pt idx="93">
                  <c:v>18597365.884710021</c:v>
                </c:pt>
                <c:pt idx="94">
                  <c:v>19072301.147891253</c:v>
                </c:pt>
                <c:pt idx="95">
                  <c:v>19786700.066529252</c:v>
                </c:pt>
                <c:pt idx="96">
                  <c:v>20809950.096402604</c:v>
                </c:pt>
                <c:pt idx="97">
                  <c:v>19243001.38662979</c:v>
                </c:pt>
                <c:pt idx="98">
                  <c:v>20196058.144404989</c:v>
                </c:pt>
                <c:pt idx="99">
                  <c:v>18881514.943595007</c:v>
                </c:pt>
                <c:pt idx="100">
                  <c:v>19140927.197610866</c:v>
                </c:pt>
                <c:pt idx="101">
                  <c:v>19726824.714284129</c:v>
                </c:pt>
                <c:pt idx="102">
                  <c:v>21320031.723478884</c:v>
                </c:pt>
                <c:pt idx="103">
                  <c:v>20965920.748317223</c:v>
                </c:pt>
                <c:pt idx="104">
                  <c:v>19926983.567710795</c:v>
                </c:pt>
                <c:pt idx="105">
                  <c:v>19539217.982679702</c:v>
                </c:pt>
                <c:pt idx="106">
                  <c:v>20398111.595114909</c:v>
                </c:pt>
                <c:pt idx="107">
                  <c:v>21079158.858130857</c:v>
                </c:pt>
                <c:pt idx="108">
                  <c:v>21241342.455475733</c:v>
                </c:pt>
                <c:pt idx="109">
                  <c:v>20701773.545067482</c:v>
                </c:pt>
                <c:pt idx="110">
                  <c:v>19585676.568900958</c:v>
                </c:pt>
                <c:pt idx="111">
                  <c:v>17302381.464593444</c:v>
                </c:pt>
                <c:pt idx="112">
                  <c:v>17057821.081868097</c:v>
                </c:pt>
                <c:pt idx="113">
                  <c:v>17829747.573958915</c:v>
                </c:pt>
                <c:pt idx="114">
                  <c:v>19452483.490544878</c:v>
                </c:pt>
                <c:pt idx="115">
                  <c:v>19420414.55592303</c:v>
                </c:pt>
                <c:pt idx="116">
                  <c:v>18400260.680830084</c:v>
                </c:pt>
                <c:pt idx="117">
                  <c:v>18535654.169840325</c:v>
                </c:pt>
                <c:pt idx="118">
                  <c:v>18849263.15289427</c:v>
                </c:pt>
                <c:pt idx="119">
                  <c:v>20104635.472855743</c:v>
                </c:pt>
                <c:pt idx="120">
                  <c:v>20346738.632619251</c:v>
                </c:pt>
                <c:pt idx="121">
                  <c:v>19319986.964773934</c:v>
                </c:pt>
                <c:pt idx="122">
                  <c:v>19319333.707526993</c:v>
                </c:pt>
                <c:pt idx="123">
                  <c:v>18346086.814601999</c:v>
                </c:pt>
                <c:pt idx="124">
                  <c:v>18963181.38397019</c:v>
                </c:pt>
                <c:pt idx="125">
                  <c:v>19841371.357616376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D4-4808-9BE8-F8FBC56C7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3485000"/>
        <c:axId val="923482704"/>
      </c:lineChart>
      <c:dateAx>
        <c:axId val="923485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2704"/>
        <c:crosses val="autoZero"/>
        <c:auto val="1"/>
        <c:lblOffset val="100"/>
        <c:baseTimeUnit val="months"/>
      </c:dateAx>
      <c:valAx>
        <c:axId val="92348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5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Summary!$A$10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Summary!$C$2:$O$2</c:f>
              <c:strCache>
                <c:ptCount val="13"/>
                <c:pt idx="0">
                  <c:v>2011 Actual </c:v>
                </c:pt>
                <c:pt idx="1">
                  <c:v>2012 Actual </c:v>
                </c:pt>
                <c:pt idx="2">
                  <c:v>2013 Actual </c:v>
                </c:pt>
                <c:pt idx="3">
                  <c:v>2014 Actual </c:v>
                </c:pt>
                <c:pt idx="4">
                  <c:v>2015 Actual </c:v>
                </c:pt>
                <c:pt idx="5">
                  <c:v>2016 Actual </c:v>
                </c:pt>
                <c:pt idx="6">
                  <c:v>2017 Actual </c:v>
                </c:pt>
                <c:pt idx="7">
                  <c:v>2018 Actual </c:v>
                </c:pt>
                <c:pt idx="8">
                  <c:v>2019 Actual </c:v>
                </c:pt>
                <c:pt idx="9">
                  <c:v>2020 Actual </c:v>
                </c:pt>
                <c:pt idx="10">
                  <c:v>2021 Actual </c:v>
                </c:pt>
                <c:pt idx="11">
                  <c:v>2022 Bridge Year</c:v>
                </c:pt>
                <c:pt idx="12">
                  <c:v>2023 Test Year</c:v>
                </c:pt>
              </c:strCache>
            </c:strRef>
          </c:cat>
          <c:val>
            <c:numRef>
              <c:f>Summary!$C$12:$O$12</c:f>
              <c:numCache>
                <c:formatCode>#,##0</c:formatCode>
                <c:ptCount val="13"/>
                <c:pt idx="0">
                  <c:v>268725506.51999998</c:v>
                </c:pt>
                <c:pt idx="1">
                  <c:v>281220954.64999998</c:v>
                </c:pt>
                <c:pt idx="2">
                  <c:v>287291133.52999997</c:v>
                </c:pt>
                <c:pt idx="3">
                  <c:v>290591982.63</c:v>
                </c:pt>
                <c:pt idx="4">
                  <c:v>295940879.87469882</c:v>
                </c:pt>
                <c:pt idx="5">
                  <c:v>310749015.99036139</c:v>
                </c:pt>
                <c:pt idx="6">
                  <c:v>294253405.64819276</c:v>
                </c:pt>
                <c:pt idx="7">
                  <c:v>323623192.28915668</c:v>
                </c:pt>
                <c:pt idx="8">
                  <c:v>316413176.16385555</c:v>
                </c:pt>
                <c:pt idx="9">
                  <c:v>353805930.95903623</c:v>
                </c:pt>
                <c:pt idx="10">
                  <c:v>360408160.45301205</c:v>
                </c:pt>
                <c:pt idx="11">
                  <c:v>354121184.31638354</c:v>
                </c:pt>
                <c:pt idx="12">
                  <c:v>353525757.92571801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B5-4223-82AF-17E491D8758E}"/>
            </c:ext>
          </c:extLst>
        </c:ser>
        <c:ser>
          <c:idx val="1"/>
          <c:order val="1"/>
          <c:tx>
            <c:strRef>
              <c:f>Summary!$A$14</c:f>
              <c:strCache>
                <c:ptCount val="1"/>
                <c:pt idx="0">
                  <c:v>General Service &lt; 50 kW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Summary!$C$2:$O$2</c:f>
              <c:strCache>
                <c:ptCount val="13"/>
                <c:pt idx="0">
                  <c:v>2011 Actual </c:v>
                </c:pt>
                <c:pt idx="1">
                  <c:v>2012 Actual </c:v>
                </c:pt>
                <c:pt idx="2">
                  <c:v>2013 Actual </c:v>
                </c:pt>
                <c:pt idx="3">
                  <c:v>2014 Actual </c:v>
                </c:pt>
                <c:pt idx="4">
                  <c:v>2015 Actual </c:v>
                </c:pt>
                <c:pt idx="5">
                  <c:v>2016 Actual </c:v>
                </c:pt>
                <c:pt idx="6">
                  <c:v>2017 Actual </c:v>
                </c:pt>
                <c:pt idx="7">
                  <c:v>2018 Actual </c:v>
                </c:pt>
                <c:pt idx="8">
                  <c:v>2019 Actual </c:v>
                </c:pt>
                <c:pt idx="9">
                  <c:v>2020 Actual </c:v>
                </c:pt>
                <c:pt idx="10">
                  <c:v>2021 Actual </c:v>
                </c:pt>
                <c:pt idx="11">
                  <c:v>2022 Bridge Year</c:v>
                </c:pt>
                <c:pt idx="12">
                  <c:v>2023 Test Year</c:v>
                </c:pt>
              </c:strCache>
            </c:strRef>
          </c:cat>
          <c:val>
            <c:numRef>
              <c:f>Summary!$C$16:$O$16</c:f>
              <c:numCache>
                <c:formatCode>#,##0</c:formatCode>
                <c:ptCount val="13"/>
                <c:pt idx="0">
                  <c:v>83338833.540000021</c:v>
                </c:pt>
                <c:pt idx="1">
                  <c:v>84168273.069999993</c:v>
                </c:pt>
                <c:pt idx="2">
                  <c:v>87021883.129999995</c:v>
                </c:pt>
                <c:pt idx="3">
                  <c:v>88384426.730000004</c:v>
                </c:pt>
                <c:pt idx="4">
                  <c:v>88333188.626506001</c:v>
                </c:pt>
                <c:pt idx="5">
                  <c:v>88749928.414457858</c:v>
                </c:pt>
                <c:pt idx="6">
                  <c:v>82899471.903614432</c:v>
                </c:pt>
                <c:pt idx="7">
                  <c:v>86093744.838554204</c:v>
                </c:pt>
                <c:pt idx="8">
                  <c:v>83808650.746987954</c:v>
                </c:pt>
                <c:pt idx="9">
                  <c:v>79694764.992771059</c:v>
                </c:pt>
                <c:pt idx="10">
                  <c:v>85479169.763855413</c:v>
                </c:pt>
                <c:pt idx="11">
                  <c:v>85936417.020232007</c:v>
                </c:pt>
                <c:pt idx="12">
                  <c:v>88577597.648644209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B5-4223-82AF-17E491D8758E}"/>
            </c:ext>
          </c:extLst>
        </c:ser>
        <c:ser>
          <c:idx val="2"/>
          <c:order val="2"/>
          <c:tx>
            <c:strRef>
              <c:f>Summary!$A$18</c:f>
              <c:strCache>
                <c:ptCount val="1"/>
                <c:pt idx="0">
                  <c:v>General Service  50 to 999 kW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Summary!$C$2:$O$2</c:f>
              <c:strCache>
                <c:ptCount val="13"/>
                <c:pt idx="0">
                  <c:v>2011 Actual </c:v>
                </c:pt>
                <c:pt idx="1">
                  <c:v>2012 Actual </c:v>
                </c:pt>
                <c:pt idx="2">
                  <c:v>2013 Actual </c:v>
                </c:pt>
                <c:pt idx="3">
                  <c:v>2014 Actual </c:v>
                </c:pt>
                <c:pt idx="4">
                  <c:v>2015 Actual </c:v>
                </c:pt>
                <c:pt idx="5">
                  <c:v>2016 Actual </c:v>
                </c:pt>
                <c:pt idx="6">
                  <c:v>2017 Actual </c:v>
                </c:pt>
                <c:pt idx="7">
                  <c:v>2018 Actual </c:v>
                </c:pt>
                <c:pt idx="8">
                  <c:v>2019 Actual </c:v>
                </c:pt>
                <c:pt idx="9">
                  <c:v>2020 Actual </c:v>
                </c:pt>
                <c:pt idx="10">
                  <c:v>2021 Actual </c:v>
                </c:pt>
                <c:pt idx="11">
                  <c:v>2022 Bridge Year</c:v>
                </c:pt>
                <c:pt idx="12">
                  <c:v>2023 Test Year</c:v>
                </c:pt>
              </c:strCache>
            </c:strRef>
          </c:cat>
          <c:val>
            <c:numRef>
              <c:f>Summary!$C$20:$O$20</c:f>
              <c:numCache>
                <c:formatCode>#,##0</c:formatCode>
                <c:ptCount val="13"/>
                <c:pt idx="0">
                  <c:v>192782769.75999996</c:v>
                </c:pt>
                <c:pt idx="1">
                  <c:v>194206572.97999996</c:v>
                </c:pt>
                <c:pt idx="2">
                  <c:v>203179610.86000001</c:v>
                </c:pt>
                <c:pt idx="3">
                  <c:v>204924669.72999999</c:v>
                </c:pt>
                <c:pt idx="4">
                  <c:v>205449544.32771084</c:v>
                </c:pt>
                <c:pt idx="5">
                  <c:v>204715589.59036142</c:v>
                </c:pt>
                <c:pt idx="6">
                  <c:v>213633991.96144572</c:v>
                </c:pt>
                <c:pt idx="7">
                  <c:v>221806792.86746988</c:v>
                </c:pt>
                <c:pt idx="8">
                  <c:v>220154820.13493976</c:v>
                </c:pt>
                <c:pt idx="9">
                  <c:v>209733279.5373494</c:v>
                </c:pt>
                <c:pt idx="10">
                  <c:v>214209551.57590359</c:v>
                </c:pt>
                <c:pt idx="11">
                  <c:v>211910527.09467155</c:v>
                </c:pt>
                <c:pt idx="12">
                  <c:v>221327140.74865586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AB5-4223-82AF-17E491D8758E}"/>
            </c:ext>
          </c:extLst>
        </c:ser>
        <c:ser>
          <c:idx val="3"/>
          <c:order val="3"/>
          <c:tx>
            <c:strRef>
              <c:f>Summary!$A$23</c:f>
              <c:strCache>
                <c:ptCount val="1"/>
                <c:pt idx="0">
                  <c:v>General Service 1000 to 4999 kW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Summary!$C$2:$O$2</c:f>
              <c:strCache>
                <c:ptCount val="13"/>
                <c:pt idx="0">
                  <c:v>2011 Actual </c:v>
                </c:pt>
                <c:pt idx="1">
                  <c:v>2012 Actual </c:v>
                </c:pt>
                <c:pt idx="2">
                  <c:v>2013 Actual </c:v>
                </c:pt>
                <c:pt idx="3">
                  <c:v>2014 Actual </c:v>
                </c:pt>
                <c:pt idx="4">
                  <c:v>2015 Actual </c:v>
                </c:pt>
                <c:pt idx="5">
                  <c:v>2016 Actual </c:v>
                </c:pt>
                <c:pt idx="6">
                  <c:v>2017 Actual </c:v>
                </c:pt>
                <c:pt idx="7">
                  <c:v>2018 Actual </c:v>
                </c:pt>
                <c:pt idx="8">
                  <c:v>2019 Actual </c:v>
                </c:pt>
                <c:pt idx="9">
                  <c:v>2020 Actual </c:v>
                </c:pt>
                <c:pt idx="10">
                  <c:v>2021 Actual </c:v>
                </c:pt>
                <c:pt idx="11">
                  <c:v>2022 Bridge Year</c:v>
                </c:pt>
                <c:pt idx="12">
                  <c:v>2023 Test Year</c:v>
                </c:pt>
              </c:strCache>
            </c:strRef>
          </c:cat>
          <c:val>
            <c:numRef>
              <c:f>Summary!$C$25:$O$25</c:f>
              <c:numCache>
                <c:formatCode>#,##0</c:formatCode>
                <c:ptCount val="13"/>
                <c:pt idx="0">
                  <c:v>121407487</c:v>
                </c:pt>
                <c:pt idx="1">
                  <c:v>128979851</c:v>
                </c:pt>
                <c:pt idx="2">
                  <c:v>100652663.27</c:v>
                </c:pt>
                <c:pt idx="3">
                  <c:v>110411188.92</c:v>
                </c:pt>
                <c:pt idx="4">
                  <c:v>112974658.04233061</c:v>
                </c:pt>
                <c:pt idx="5">
                  <c:v>119969236.41206953</c:v>
                </c:pt>
                <c:pt idx="6">
                  <c:v>121918931.97074634</c:v>
                </c:pt>
                <c:pt idx="7">
                  <c:v>130413203.88434154</c:v>
                </c:pt>
                <c:pt idx="8">
                  <c:v>134423430.54196733</c:v>
                </c:pt>
                <c:pt idx="9">
                  <c:v>128841062.06228508</c:v>
                </c:pt>
                <c:pt idx="10">
                  <c:v>132400892.43957959</c:v>
                </c:pt>
                <c:pt idx="11">
                  <c:v>103617411.17512476</c:v>
                </c:pt>
                <c:pt idx="12">
                  <c:v>103617411.17512476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AB5-4223-82AF-17E491D8758E}"/>
            </c:ext>
          </c:extLst>
        </c:ser>
        <c:ser>
          <c:idx val="4"/>
          <c:order val="4"/>
          <c:tx>
            <c:strRef>
              <c:f>Summary!$A$28</c:f>
              <c:strCache>
                <c:ptCount val="1"/>
                <c:pt idx="0">
                  <c:v>Large User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Summary!$C$2:$O$2</c:f>
              <c:strCache>
                <c:ptCount val="13"/>
                <c:pt idx="0">
                  <c:v>2011 Actual </c:v>
                </c:pt>
                <c:pt idx="1">
                  <c:v>2012 Actual </c:v>
                </c:pt>
                <c:pt idx="2">
                  <c:v>2013 Actual </c:v>
                </c:pt>
                <c:pt idx="3">
                  <c:v>2014 Actual </c:v>
                </c:pt>
                <c:pt idx="4">
                  <c:v>2015 Actual </c:v>
                </c:pt>
                <c:pt idx="5">
                  <c:v>2016 Actual </c:v>
                </c:pt>
                <c:pt idx="6">
                  <c:v>2017 Actual </c:v>
                </c:pt>
                <c:pt idx="7">
                  <c:v>2018 Actual </c:v>
                </c:pt>
                <c:pt idx="8">
                  <c:v>2019 Actual </c:v>
                </c:pt>
                <c:pt idx="9">
                  <c:v>2020 Actual </c:v>
                </c:pt>
                <c:pt idx="10">
                  <c:v>2021 Actual </c:v>
                </c:pt>
                <c:pt idx="11">
                  <c:v>2022 Bridge Year</c:v>
                </c:pt>
                <c:pt idx="12">
                  <c:v>2023 Test Year</c:v>
                </c:pt>
              </c:strCache>
            </c:strRef>
          </c:cat>
          <c:val>
            <c:numRef>
              <c:f>Summary!$C$30:$O$30</c:f>
              <c:numCache>
                <c:formatCode>#,##0</c:formatCode>
                <c:ptCount val="13"/>
                <c:pt idx="0">
                  <c:v>80336534</c:v>
                </c:pt>
                <c:pt idx="1">
                  <c:v>86554626</c:v>
                </c:pt>
                <c:pt idx="2">
                  <c:v>127931414.90000002</c:v>
                </c:pt>
                <c:pt idx="3">
                  <c:v>133427900.34</c:v>
                </c:pt>
                <c:pt idx="4">
                  <c:v>136606296.6878854</c:v>
                </c:pt>
                <c:pt idx="5">
                  <c:v>140016226.34772229</c:v>
                </c:pt>
                <c:pt idx="6">
                  <c:v>137562121.61328822</c:v>
                </c:pt>
                <c:pt idx="7">
                  <c:v>138505562.38313109</c:v>
                </c:pt>
                <c:pt idx="8">
                  <c:v>144434637.29858762</c:v>
                </c:pt>
                <c:pt idx="9">
                  <c:v>129179340.58086331</c:v>
                </c:pt>
                <c:pt idx="10">
                  <c:v>137730887.895365</c:v>
                </c:pt>
                <c:pt idx="11">
                  <c:v>131131300.15596515</c:v>
                </c:pt>
                <c:pt idx="12">
                  <c:v>131131300.15596515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AB5-4223-82AF-17E491D87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3912656"/>
        <c:axId val="943911016"/>
      </c:lineChart>
      <c:catAx>
        <c:axId val="94391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911016"/>
        <c:crosses val="autoZero"/>
        <c:auto val="1"/>
        <c:lblAlgn val="ctr"/>
        <c:lblOffset val="100"/>
        <c:noMultiLvlLbl val="0"/>
      </c:catAx>
      <c:valAx>
        <c:axId val="943911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3912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GS &lt; 50Weather Normal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 &lt; 50 kW (WN)'!$F$2</c:f>
              <c:strCache>
                <c:ptCount val="1"/>
                <c:pt idx="0">
                  <c:v> GSlt50_NoCDM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'GS &lt; 50 kW (WN)'!$A$3:$A$158</c:f>
              <c:numCache>
                <c:formatCode>mmm\-yy</c:formatCode>
                <c:ptCount val="15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  <c:pt idx="126">
                  <c:v>44378</c:v>
                </c:pt>
                <c:pt idx="127">
                  <c:v>44409</c:v>
                </c:pt>
                <c:pt idx="128">
                  <c:v>44440</c:v>
                </c:pt>
                <c:pt idx="129">
                  <c:v>44470</c:v>
                </c:pt>
                <c:pt idx="130">
                  <c:v>44501</c:v>
                </c:pt>
                <c:pt idx="131">
                  <c:v>44531</c:v>
                </c:pt>
                <c:pt idx="132">
                  <c:v>44562</c:v>
                </c:pt>
                <c:pt idx="133">
                  <c:v>44593</c:v>
                </c:pt>
                <c:pt idx="134">
                  <c:v>44621</c:v>
                </c:pt>
                <c:pt idx="135">
                  <c:v>44652</c:v>
                </c:pt>
                <c:pt idx="136">
                  <c:v>44682</c:v>
                </c:pt>
                <c:pt idx="137">
                  <c:v>44713</c:v>
                </c:pt>
                <c:pt idx="138">
                  <c:v>44743</c:v>
                </c:pt>
                <c:pt idx="139">
                  <c:v>44774</c:v>
                </c:pt>
                <c:pt idx="140">
                  <c:v>44805</c:v>
                </c:pt>
                <c:pt idx="141">
                  <c:v>44835</c:v>
                </c:pt>
                <c:pt idx="142">
                  <c:v>44866</c:v>
                </c:pt>
                <c:pt idx="143">
                  <c:v>44896</c:v>
                </c:pt>
                <c:pt idx="144">
                  <c:v>44927</c:v>
                </c:pt>
                <c:pt idx="145">
                  <c:v>44958</c:v>
                </c:pt>
                <c:pt idx="146">
                  <c:v>44986</c:v>
                </c:pt>
                <c:pt idx="147">
                  <c:v>45017</c:v>
                </c:pt>
                <c:pt idx="148">
                  <c:v>45047</c:v>
                </c:pt>
                <c:pt idx="149">
                  <c:v>45078</c:v>
                </c:pt>
                <c:pt idx="150">
                  <c:v>45108</c:v>
                </c:pt>
                <c:pt idx="151">
                  <c:v>45139</c:v>
                </c:pt>
                <c:pt idx="152">
                  <c:v>45170</c:v>
                </c:pt>
                <c:pt idx="153">
                  <c:v>45200</c:v>
                </c:pt>
                <c:pt idx="154">
                  <c:v>45231</c:v>
                </c:pt>
                <c:pt idx="155">
                  <c:v>45261</c:v>
                </c:pt>
              </c:numCache>
            </c:numRef>
          </c:cat>
          <c:val>
            <c:numRef>
              <c:f>'GS &lt; 50 kW (WN)'!$F$3:$F$127</c:f>
              <c:numCache>
                <c:formatCode>_(* #,##0_);_(* \(#,##0\);_(* "-"??_);_(@_)</c:formatCode>
                <c:ptCount val="125"/>
                <c:pt idx="0">
                  <c:v>6864837.5606799051</c:v>
                </c:pt>
                <c:pt idx="1">
                  <c:v>7486989.0006799055</c:v>
                </c:pt>
                <c:pt idx="2">
                  <c:v>7162036.2106799055</c:v>
                </c:pt>
                <c:pt idx="3">
                  <c:v>6476547.8606799087</c:v>
                </c:pt>
                <c:pt idx="4">
                  <c:v>6403514.4906799076</c:v>
                </c:pt>
                <c:pt idx="5">
                  <c:v>6877896.1406799043</c:v>
                </c:pt>
                <c:pt idx="6">
                  <c:v>7234914.1806799052</c:v>
                </c:pt>
                <c:pt idx="7">
                  <c:v>7344852.5306799076</c:v>
                </c:pt>
                <c:pt idx="8">
                  <c:v>6374849.0306799021</c:v>
                </c:pt>
                <c:pt idx="9">
                  <c:v>6197006.2306798976</c:v>
                </c:pt>
                <c:pt idx="10">
                  <c:v>6512655.0606799014</c:v>
                </c:pt>
                <c:pt idx="11">
                  <c:v>8516346.6906799022</c:v>
                </c:pt>
                <c:pt idx="12">
                  <c:v>6574209.2444903748</c:v>
                </c:pt>
                <c:pt idx="13">
                  <c:v>7340119.5544903772</c:v>
                </c:pt>
                <c:pt idx="14">
                  <c:v>6958502.994490372</c:v>
                </c:pt>
                <c:pt idx="15">
                  <c:v>6528936.0744903851</c:v>
                </c:pt>
                <c:pt idx="16">
                  <c:v>6426033.404490374</c:v>
                </c:pt>
                <c:pt idx="17">
                  <c:v>6971087.1044903705</c:v>
                </c:pt>
                <c:pt idx="18">
                  <c:v>7716520.8544903751</c:v>
                </c:pt>
                <c:pt idx="19">
                  <c:v>7843878.4144903794</c:v>
                </c:pt>
                <c:pt idx="20">
                  <c:v>6441465.9444903778</c:v>
                </c:pt>
                <c:pt idx="21">
                  <c:v>6350300.914490371</c:v>
                </c:pt>
                <c:pt idx="22">
                  <c:v>7024430.374490384</c:v>
                </c:pt>
                <c:pt idx="23">
                  <c:v>8378458.2844903842</c:v>
                </c:pt>
                <c:pt idx="24">
                  <c:v>7057432.2289354121</c:v>
                </c:pt>
                <c:pt idx="25">
                  <c:v>7593243.098935415</c:v>
                </c:pt>
                <c:pt idx="26">
                  <c:v>7735467.3789354125</c:v>
                </c:pt>
                <c:pt idx="27">
                  <c:v>6936016.7489354145</c:v>
                </c:pt>
                <c:pt idx="28">
                  <c:v>6937866.048935418</c:v>
                </c:pt>
                <c:pt idx="29">
                  <c:v>6780363.4189354125</c:v>
                </c:pt>
                <c:pt idx="30">
                  <c:v>7593943.1689354144</c:v>
                </c:pt>
                <c:pt idx="31">
                  <c:v>7611748.6689354172</c:v>
                </c:pt>
                <c:pt idx="32">
                  <c:v>6250680.5689354129</c:v>
                </c:pt>
                <c:pt idx="33">
                  <c:v>6826886.2589354143</c:v>
                </c:pt>
                <c:pt idx="34">
                  <c:v>6939097.1989354165</c:v>
                </c:pt>
                <c:pt idx="35">
                  <c:v>9532516.128935419</c:v>
                </c:pt>
                <c:pt idx="36">
                  <c:v>7487898.8517205259</c:v>
                </c:pt>
                <c:pt idx="37">
                  <c:v>8502995.9417205229</c:v>
                </c:pt>
                <c:pt idx="38">
                  <c:v>8235800.4217205308</c:v>
                </c:pt>
                <c:pt idx="39">
                  <c:v>7581461.2417205265</c:v>
                </c:pt>
                <c:pt idx="40">
                  <c:v>6902215.0417205226</c:v>
                </c:pt>
                <c:pt idx="41">
                  <c:v>6554303.0217205258</c:v>
                </c:pt>
                <c:pt idx="42">
                  <c:v>7496044.9317205288</c:v>
                </c:pt>
                <c:pt idx="43">
                  <c:v>7049683.7417205274</c:v>
                </c:pt>
                <c:pt idx="44">
                  <c:v>6616002.9717205288</c:v>
                </c:pt>
                <c:pt idx="45">
                  <c:v>6897925.29172053</c:v>
                </c:pt>
                <c:pt idx="46">
                  <c:v>7293217.2817205237</c:v>
                </c:pt>
                <c:pt idx="47">
                  <c:v>9033496.731720522</c:v>
                </c:pt>
                <c:pt idx="48">
                  <c:v>9162367.7804134693</c:v>
                </c:pt>
                <c:pt idx="49">
                  <c:v>8827828.0406544302</c:v>
                </c:pt>
                <c:pt idx="50">
                  <c:v>8435812.8310158737</c:v>
                </c:pt>
                <c:pt idx="51">
                  <c:v>7370231.4141484043</c:v>
                </c:pt>
                <c:pt idx="52">
                  <c:v>7077182.7683652705</c:v>
                </c:pt>
                <c:pt idx="53">
                  <c:v>6914019.9057146711</c:v>
                </c:pt>
                <c:pt idx="54">
                  <c:v>7837310.6719797337</c:v>
                </c:pt>
                <c:pt idx="55">
                  <c:v>7385438.6527026212</c:v>
                </c:pt>
                <c:pt idx="56">
                  <c:v>7261609.6984857554</c:v>
                </c:pt>
                <c:pt idx="57">
                  <c:v>6991164.0021002153</c:v>
                </c:pt>
                <c:pt idx="58">
                  <c:v>6518609.4286062401</c:v>
                </c:pt>
                <c:pt idx="59">
                  <c:v>6890863.0382447885</c:v>
                </c:pt>
                <c:pt idx="60">
                  <c:v>8689256.1018550042</c:v>
                </c:pt>
                <c:pt idx="61">
                  <c:v>8524672.8247465622</c:v>
                </c:pt>
                <c:pt idx="62">
                  <c:v>8034077.1524574133</c:v>
                </c:pt>
                <c:pt idx="63">
                  <c:v>7906470.30908392</c:v>
                </c:pt>
                <c:pt idx="64">
                  <c:v>6742797.6054694587</c:v>
                </c:pt>
                <c:pt idx="65">
                  <c:v>7675214.5211321106</c:v>
                </c:pt>
                <c:pt idx="66">
                  <c:v>8203345.3452284951</c:v>
                </c:pt>
                <c:pt idx="67">
                  <c:v>8087094.0199272949</c:v>
                </c:pt>
                <c:pt idx="68">
                  <c:v>7364858.7428188557</c:v>
                </c:pt>
                <c:pt idx="69">
                  <c:v>6481920.940409217</c:v>
                </c:pt>
                <c:pt idx="70">
                  <c:v>6598590.6946260817</c:v>
                </c:pt>
                <c:pt idx="71">
                  <c:v>8424033.8464333117</c:v>
                </c:pt>
                <c:pt idx="72">
                  <c:v>8961782.937473489</c:v>
                </c:pt>
                <c:pt idx="73">
                  <c:v>7475683.5639795121</c:v>
                </c:pt>
                <c:pt idx="74">
                  <c:v>8386104.0073530022</c:v>
                </c:pt>
                <c:pt idx="75">
                  <c:v>6961618.7254252993</c:v>
                </c:pt>
                <c:pt idx="76">
                  <c:v>6487938.850726502</c:v>
                </c:pt>
                <c:pt idx="77">
                  <c:v>7096252.9422927629</c:v>
                </c:pt>
                <c:pt idx="78">
                  <c:v>6969986.9760277011</c:v>
                </c:pt>
                <c:pt idx="79">
                  <c:v>7469547.1206060164</c:v>
                </c:pt>
                <c:pt idx="80">
                  <c:v>6971224.8651843295</c:v>
                </c:pt>
                <c:pt idx="81">
                  <c:v>6295611.4001240861</c:v>
                </c:pt>
                <c:pt idx="82">
                  <c:v>7055249.0097626392</c:v>
                </c:pt>
                <c:pt idx="83">
                  <c:v>7872393.2507264968</c:v>
                </c:pt>
                <c:pt idx="84">
                  <c:v>8973675.8913750686</c:v>
                </c:pt>
                <c:pt idx="85">
                  <c:v>7560592.093784716</c:v>
                </c:pt>
                <c:pt idx="86">
                  <c:v>8232567.2745076045</c:v>
                </c:pt>
                <c:pt idx="87">
                  <c:v>7175356.5853509782</c:v>
                </c:pt>
                <c:pt idx="88">
                  <c:v>7104279.4576401319</c:v>
                </c:pt>
                <c:pt idx="89">
                  <c:v>7590209.0961943539</c:v>
                </c:pt>
                <c:pt idx="90">
                  <c:v>7685013.5202907361</c:v>
                </c:pt>
                <c:pt idx="91">
                  <c:v>8305832.5949895326</c:v>
                </c:pt>
                <c:pt idx="92">
                  <c:v>7235600.4407726647</c:v>
                </c:pt>
                <c:pt idx="93">
                  <c:v>6858390.011857003</c:v>
                </c:pt>
                <c:pt idx="94">
                  <c:v>6844367.4480015812</c:v>
                </c:pt>
                <c:pt idx="95">
                  <c:v>8731785.7901702579</c:v>
                </c:pt>
                <c:pt idx="96">
                  <c:v>9100450.7979688402</c:v>
                </c:pt>
                <c:pt idx="97">
                  <c:v>8257335.0678483583</c:v>
                </c:pt>
                <c:pt idx="98">
                  <c:v>8209950.1811013678</c:v>
                </c:pt>
                <c:pt idx="99">
                  <c:v>7384598.2196555957</c:v>
                </c:pt>
                <c:pt idx="100">
                  <c:v>7011908.0220652344</c:v>
                </c:pt>
                <c:pt idx="101">
                  <c:v>6642423.5594146261</c:v>
                </c:pt>
                <c:pt idx="102">
                  <c:v>7953798.4027881147</c:v>
                </c:pt>
                <c:pt idx="103">
                  <c:v>7820229.9304989632</c:v>
                </c:pt>
                <c:pt idx="104">
                  <c:v>7019323.2991736615</c:v>
                </c:pt>
                <c:pt idx="105">
                  <c:v>6782854.7690531816</c:v>
                </c:pt>
                <c:pt idx="106">
                  <c:v>6765629.6027881224</c:v>
                </c:pt>
                <c:pt idx="107">
                  <c:v>8143431.5883302838</c:v>
                </c:pt>
                <c:pt idx="108">
                  <c:v>9133853.9773062132</c:v>
                </c:pt>
                <c:pt idx="109">
                  <c:v>8086938.7194748772</c:v>
                </c:pt>
                <c:pt idx="110">
                  <c:v>7679145.8712821063</c:v>
                </c:pt>
                <c:pt idx="111">
                  <c:v>6710329.7941736775</c:v>
                </c:pt>
                <c:pt idx="112">
                  <c:v>6149818.835137534</c:v>
                </c:pt>
                <c:pt idx="113">
                  <c:v>6828756.04959537</c:v>
                </c:pt>
                <c:pt idx="114">
                  <c:v>7775470.7291134307</c:v>
                </c:pt>
                <c:pt idx="115">
                  <c:v>7602092.4544146396</c:v>
                </c:pt>
                <c:pt idx="116">
                  <c:v>6802526.1989929536</c:v>
                </c:pt>
                <c:pt idx="117">
                  <c:v>6713600.6953784954</c:v>
                </c:pt>
                <c:pt idx="118">
                  <c:v>6639791.5001977691</c:v>
                </c:pt>
                <c:pt idx="119">
                  <c:v>7370193.7845351249</c:v>
                </c:pt>
                <c:pt idx="120">
                  <c:v>9052771.0857710969</c:v>
                </c:pt>
                <c:pt idx="121">
                  <c:v>8634891.8664939813</c:v>
                </c:pt>
                <c:pt idx="122">
                  <c:v>7932623.7508313302</c:v>
                </c:pt>
                <c:pt idx="123">
                  <c:v>7283139.1821566392</c:v>
                </c:pt>
                <c:pt idx="124">
                  <c:v>6652107.6448072325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5F-4C4E-89A8-799D0CDE01FB}"/>
            </c:ext>
          </c:extLst>
        </c:ser>
        <c:ser>
          <c:idx val="1"/>
          <c:order val="1"/>
          <c:tx>
            <c:strRef>
              <c:f>'GS &lt; 50 kW (WN)'!$O$2</c:f>
              <c:strCache>
                <c:ptCount val="1"/>
                <c:pt idx="0">
                  <c:v>Predicted Consumption + CDM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'GS &lt; 50 kW (WN)'!$A$3:$A$158</c:f>
              <c:numCache>
                <c:formatCode>mmm\-yy</c:formatCode>
                <c:ptCount val="15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  <c:pt idx="126">
                  <c:v>44378</c:v>
                </c:pt>
                <c:pt idx="127">
                  <c:v>44409</c:v>
                </c:pt>
                <c:pt idx="128">
                  <c:v>44440</c:v>
                </c:pt>
                <c:pt idx="129">
                  <c:v>44470</c:v>
                </c:pt>
                <c:pt idx="130">
                  <c:v>44501</c:v>
                </c:pt>
                <c:pt idx="131">
                  <c:v>44531</c:v>
                </c:pt>
                <c:pt idx="132">
                  <c:v>44562</c:v>
                </c:pt>
                <c:pt idx="133">
                  <c:v>44593</c:v>
                </c:pt>
                <c:pt idx="134">
                  <c:v>44621</c:v>
                </c:pt>
                <c:pt idx="135">
                  <c:v>44652</c:v>
                </c:pt>
                <c:pt idx="136">
                  <c:v>44682</c:v>
                </c:pt>
                <c:pt idx="137">
                  <c:v>44713</c:v>
                </c:pt>
                <c:pt idx="138">
                  <c:v>44743</c:v>
                </c:pt>
                <c:pt idx="139">
                  <c:v>44774</c:v>
                </c:pt>
                <c:pt idx="140">
                  <c:v>44805</c:v>
                </c:pt>
                <c:pt idx="141">
                  <c:v>44835</c:v>
                </c:pt>
                <c:pt idx="142">
                  <c:v>44866</c:v>
                </c:pt>
                <c:pt idx="143">
                  <c:v>44896</c:v>
                </c:pt>
                <c:pt idx="144">
                  <c:v>44927</c:v>
                </c:pt>
                <c:pt idx="145">
                  <c:v>44958</c:v>
                </c:pt>
                <c:pt idx="146">
                  <c:v>44986</c:v>
                </c:pt>
                <c:pt idx="147">
                  <c:v>45017</c:v>
                </c:pt>
                <c:pt idx="148">
                  <c:v>45047</c:v>
                </c:pt>
                <c:pt idx="149">
                  <c:v>45078</c:v>
                </c:pt>
                <c:pt idx="150">
                  <c:v>45108</c:v>
                </c:pt>
                <c:pt idx="151">
                  <c:v>45139</c:v>
                </c:pt>
                <c:pt idx="152">
                  <c:v>45170</c:v>
                </c:pt>
                <c:pt idx="153">
                  <c:v>45200</c:v>
                </c:pt>
                <c:pt idx="154">
                  <c:v>45231</c:v>
                </c:pt>
                <c:pt idx="155">
                  <c:v>45261</c:v>
                </c:pt>
              </c:numCache>
            </c:numRef>
          </c:cat>
          <c:val>
            <c:numRef>
              <c:f>'GS &lt; 50 kW (WN)'!$O$3:$O$158</c:f>
              <c:numCache>
                <c:formatCode>#,##0_);\(#,##0\)</c:formatCode>
                <c:ptCount val="156"/>
                <c:pt idx="0">
                  <c:v>6562806.8379370123</c:v>
                </c:pt>
                <c:pt idx="1">
                  <c:v>7398959.7729465263</c:v>
                </c:pt>
                <c:pt idx="2">
                  <c:v>7034014.1929901084</c:v>
                </c:pt>
                <c:pt idx="3">
                  <c:v>6529377.9746178985</c:v>
                </c:pt>
                <c:pt idx="4">
                  <c:v>6517844.8952533836</c:v>
                </c:pt>
                <c:pt idx="5">
                  <c:v>6976305.0854000328</c:v>
                </c:pt>
                <c:pt idx="6">
                  <c:v>6972332.8133846167</c:v>
                </c:pt>
                <c:pt idx="7">
                  <c:v>7326284.6669309121</c:v>
                </c:pt>
                <c:pt idx="8">
                  <c:v>6400269.1442541694</c:v>
                </c:pt>
                <c:pt idx="9">
                  <c:v>6156037.2651059497</c:v>
                </c:pt>
                <c:pt idx="10">
                  <c:v>6810263.576621403</c:v>
                </c:pt>
                <c:pt idx="11">
                  <c:v>8658624.4890016112</c:v>
                </c:pt>
                <c:pt idx="12">
                  <c:v>6837024.1330730282</c:v>
                </c:pt>
                <c:pt idx="13">
                  <c:v>7687248.4865175439</c:v>
                </c:pt>
                <c:pt idx="14">
                  <c:v>7506370.0545764426</c:v>
                </c:pt>
                <c:pt idx="15">
                  <c:v>6585451.8800998945</c:v>
                </c:pt>
                <c:pt idx="16">
                  <c:v>6403844.1830399409</c:v>
                </c:pt>
                <c:pt idx="17">
                  <c:v>6835847.8696033573</c:v>
                </c:pt>
                <c:pt idx="18">
                  <c:v>7468337.0286047356</c:v>
                </c:pt>
                <c:pt idx="19">
                  <c:v>7885383.0511057815</c:v>
                </c:pt>
                <c:pt idx="20">
                  <c:v>6563889.918441697</c:v>
                </c:pt>
                <c:pt idx="21">
                  <c:v>6360280.2927045701</c:v>
                </c:pt>
                <c:pt idx="22">
                  <c:v>7005216.2302425876</c:v>
                </c:pt>
                <c:pt idx="23">
                  <c:v>8522456.0755384192</c:v>
                </c:pt>
                <c:pt idx="24">
                  <c:v>7274151.3124525212</c:v>
                </c:pt>
                <c:pt idx="25">
                  <c:v>7583301.5409772489</c:v>
                </c:pt>
                <c:pt idx="26">
                  <c:v>7669365.0993933603</c:v>
                </c:pt>
                <c:pt idx="27">
                  <c:v>6897534.7799782166</c:v>
                </c:pt>
                <c:pt idx="28">
                  <c:v>6925843.088711882</c:v>
                </c:pt>
                <c:pt idx="29">
                  <c:v>6889687.0792850582</c:v>
                </c:pt>
                <c:pt idx="30">
                  <c:v>7654065.3159943279</c:v>
                </c:pt>
                <c:pt idx="31">
                  <c:v>7756021.9631990036</c:v>
                </c:pt>
                <c:pt idx="32">
                  <c:v>6430120.1180892168</c:v>
                </c:pt>
                <c:pt idx="33">
                  <c:v>6873915.4091298571</c:v>
                </c:pt>
                <c:pt idx="34">
                  <c:v>6767835.6976803783</c:v>
                </c:pt>
                <c:pt idx="35">
                  <c:v>9145380.1660939027</c:v>
                </c:pt>
                <c:pt idx="36">
                  <c:v>7011804.8650734155</c:v>
                </c:pt>
                <c:pt idx="37">
                  <c:v>8129791.9199622497</c:v>
                </c:pt>
                <c:pt idx="38">
                  <c:v>7702548.1177082658</c:v>
                </c:pt>
                <c:pt idx="39">
                  <c:v>7560593.7648987956</c:v>
                </c:pt>
                <c:pt idx="40">
                  <c:v>7047376.7943854295</c:v>
                </c:pt>
                <c:pt idx="41">
                  <c:v>6549446.8418473098</c:v>
                </c:pt>
                <c:pt idx="42">
                  <c:v>7885324.6634207293</c:v>
                </c:pt>
                <c:pt idx="43">
                  <c:v>7275377.6149904048</c:v>
                </c:pt>
                <c:pt idx="44">
                  <c:v>6698177.839950392</c:v>
                </c:pt>
                <c:pt idx="45">
                  <c:v>6923293.8693092782</c:v>
                </c:pt>
                <c:pt idx="46">
                  <c:v>7108539.8372001406</c:v>
                </c:pt>
                <c:pt idx="47">
                  <c:v>9095622.8689954262</c:v>
                </c:pt>
                <c:pt idx="48">
                  <c:v>8801513.3064302187</c:v>
                </c:pt>
                <c:pt idx="49">
                  <c:v>8042857.7602136498</c:v>
                </c:pt>
                <c:pt idx="50">
                  <c:v>8160903.4344978137</c:v>
                </c:pt>
                <c:pt idx="51">
                  <c:v>7479481.0680919001</c:v>
                </c:pt>
                <c:pt idx="52">
                  <c:v>7029913.1576919379</c:v>
                </c:pt>
                <c:pt idx="53">
                  <c:v>7159488.915692661</c:v>
                </c:pt>
                <c:pt idx="54">
                  <c:v>8011620.2164255194</c:v>
                </c:pt>
                <c:pt idx="55">
                  <c:v>7555528.2281145435</c:v>
                </c:pt>
                <c:pt idx="56">
                  <c:v>7039538.5126438951</c:v>
                </c:pt>
                <c:pt idx="57">
                  <c:v>7002504.2601674534</c:v>
                </c:pt>
                <c:pt idx="58">
                  <c:v>6787063.7488551568</c:v>
                </c:pt>
                <c:pt idx="59">
                  <c:v>7391931.3192781564</c:v>
                </c:pt>
                <c:pt idx="60">
                  <c:v>8748079.853095362</c:v>
                </c:pt>
                <c:pt idx="61">
                  <c:v>8676754.581608329</c:v>
                </c:pt>
                <c:pt idx="62">
                  <c:v>8238701.7280391166</c:v>
                </c:pt>
                <c:pt idx="63">
                  <c:v>7735896.6773268702</c:v>
                </c:pt>
                <c:pt idx="64">
                  <c:v>6647382.0860558469</c:v>
                </c:pt>
                <c:pt idx="65">
                  <c:v>7616998.2290718853</c:v>
                </c:pt>
                <c:pt idx="66">
                  <c:v>8047007.9041975131</c:v>
                </c:pt>
                <c:pt idx="67">
                  <c:v>7705112.3523209514</c:v>
                </c:pt>
                <c:pt idx="68">
                  <c:v>7195838.9537822101</c:v>
                </c:pt>
                <c:pt idx="69">
                  <c:v>6443967.2864008658</c:v>
                </c:pt>
                <c:pt idx="70">
                  <c:v>6901058.0305287782</c:v>
                </c:pt>
                <c:pt idx="71">
                  <c:v>8311752.7212587334</c:v>
                </c:pt>
                <c:pt idx="72">
                  <c:v>9232165.7940519787</c:v>
                </c:pt>
                <c:pt idx="73">
                  <c:v>7882324.2443375671</c:v>
                </c:pt>
                <c:pt idx="74">
                  <c:v>8253954.0071200216</c:v>
                </c:pt>
                <c:pt idx="75">
                  <c:v>7212086.7014014833</c:v>
                </c:pt>
                <c:pt idx="76">
                  <c:v>6567844.2266248344</c:v>
                </c:pt>
                <c:pt idx="77">
                  <c:v>7147571.8721316066</c:v>
                </c:pt>
                <c:pt idx="78">
                  <c:v>7113515.5698735463</c:v>
                </c:pt>
                <c:pt idx="79">
                  <c:v>7741908.8867209628</c:v>
                </c:pt>
                <c:pt idx="80">
                  <c:v>6853169.8101892723</c:v>
                </c:pt>
                <c:pt idx="81">
                  <c:v>6339946.4674176546</c:v>
                </c:pt>
                <c:pt idx="82">
                  <c:v>7051858.7985970443</c:v>
                </c:pt>
                <c:pt idx="83">
                  <c:v>7379993.7330338135</c:v>
                </c:pt>
                <c:pt idx="84">
                  <c:v>8819564.543096235</c:v>
                </c:pt>
                <c:pt idx="85">
                  <c:v>7813809.4229544681</c:v>
                </c:pt>
                <c:pt idx="86">
                  <c:v>8169216.9833276747</c:v>
                </c:pt>
                <c:pt idx="87">
                  <c:v>6878258.276681249</c:v>
                </c:pt>
                <c:pt idx="88">
                  <c:v>7076647.9927029619</c:v>
                </c:pt>
                <c:pt idx="89">
                  <c:v>7612271.7594322097</c:v>
                </c:pt>
                <c:pt idx="90">
                  <c:v>7573854.5712693427</c:v>
                </c:pt>
                <c:pt idx="91">
                  <c:v>8093642.6226280155</c:v>
                </c:pt>
                <c:pt idx="92">
                  <c:v>7072402.1769314893</c:v>
                </c:pt>
                <c:pt idx="93">
                  <c:v>6689434.694534353</c:v>
                </c:pt>
                <c:pt idx="94">
                  <c:v>6618410.1780493679</c:v>
                </c:pt>
                <c:pt idx="95">
                  <c:v>8772240.019093452</c:v>
                </c:pt>
                <c:pt idx="96">
                  <c:v>8835571.9181145951</c:v>
                </c:pt>
                <c:pt idx="97">
                  <c:v>8281105.367326187</c:v>
                </c:pt>
                <c:pt idx="98">
                  <c:v>8009344.4703606023</c:v>
                </c:pt>
                <c:pt idx="99">
                  <c:v>7398474.5959056551</c:v>
                </c:pt>
                <c:pt idx="100">
                  <c:v>7173066.3942419402</c:v>
                </c:pt>
                <c:pt idx="101">
                  <c:v>6841564.8965108059</c:v>
                </c:pt>
                <c:pt idx="102">
                  <c:v>7847107.6562731648</c:v>
                </c:pt>
                <c:pt idx="103">
                  <c:v>7899962.5218917094</c:v>
                </c:pt>
                <c:pt idx="104">
                  <c:v>7119881.2827770589</c:v>
                </c:pt>
                <c:pt idx="105">
                  <c:v>6836479.1221885877</c:v>
                </c:pt>
                <c:pt idx="106">
                  <c:v>6473624.6121449806</c:v>
                </c:pt>
                <c:pt idx="107">
                  <c:v>8119214.0907436097</c:v>
                </c:pt>
                <c:pt idx="108">
                  <c:v>9417652.7771500461</c:v>
                </c:pt>
                <c:pt idx="109">
                  <c:v>8158524.8167445762</c:v>
                </c:pt>
                <c:pt idx="110">
                  <c:v>7943626.1937399628</c:v>
                </c:pt>
                <c:pt idx="111">
                  <c:v>6670886.3959076228</c:v>
                </c:pt>
                <c:pt idx="112">
                  <c:v>6026266.0505333673</c:v>
                </c:pt>
                <c:pt idx="113">
                  <c:v>6707453.1723363157</c:v>
                </c:pt>
                <c:pt idx="114">
                  <c:v>7426504.1133602476</c:v>
                </c:pt>
                <c:pt idx="115">
                  <c:v>7565155.3136947127</c:v>
                </c:pt>
                <c:pt idx="116">
                  <c:v>6904496.7358663017</c:v>
                </c:pt>
                <c:pt idx="117">
                  <c:v>6704008.7156014657</c:v>
                </c:pt>
                <c:pt idx="118">
                  <c:v>6914757.8453892721</c:v>
                </c:pt>
                <c:pt idx="119">
                  <c:v>7397920.0672835037</c:v>
                </c:pt>
                <c:pt idx="120">
                  <c:v>9216170.3947720919</c:v>
                </c:pt>
                <c:pt idx="121">
                  <c:v>8548582.63148693</c:v>
                </c:pt>
                <c:pt idx="122">
                  <c:v>8186021.7749317531</c:v>
                </c:pt>
                <c:pt idx="123">
                  <c:v>7419494.1548491511</c:v>
                </c:pt>
                <c:pt idx="124">
                  <c:v>6593963.7053695349</c:v>
                </c:pt>
                <c:pt idx="125">
                  <c:v>6930658.098265755</c:v>
                </c:pt>
                <c:pt idx="126">
                  <c:v>8021013.4951192709</c:v>
                </c:pt>
                <c:pt idx="127">
                  <c:v>8284678.7318000365</c:v>
                </c:pt>
                <c:pt idx="128">
                  <c:v>7978807.0700837374</c:v>
                </c:pt>
                <c:pt idx="129">
                  <c:v>7525764.4186505787</c:v>
                </c:pt>
                <c:pt idx="130">
                  <c:v>7507402.6703085294</c:v>
                </c:pt>
                <c:pt idx="131">
                  <c:v>8498556.2174362503</c:v>
                </c:pt>
                <c:pt idx="132">
                  <c:v>8973274.9369249493</c:v>
                </c:pt>
                <c:pt idx="133">
                  <c:v>8821618.4646423087</c:v>
                </c:pt>
                <c:pt idx="134">
                  <c:v>8470008.9193696454</c:v>
                </c:pt>
                <c:pt idx="135">
                  <c:v>7857941.9192644758</c:v>
                </c:pt>
                <c:pt idx="136">
                  <c:v>7629306.1745864637</c:v>
                </c:pt>
                <c:pt idx="137">
                  <c:v>7942396.5722210687</c:v>
                </c:pt>
                <c:pt idx="138">
                  <c:v>8430744.0137924924</c:v>
                </c:pt>
                <c:pt idx="139">
                  <c:v>8306792.0130792381</c:v>
                </c:pt>
                <c:pt idx="140">
                  <c:v>7479539.6734467363</c:v>
                </c:pt>
                <c:pt idx="141">
                  <c:v>7359757.9812976429</c:v>
                </c:pt>
                <c:pt idx="142">
                  <c:v>7906711.8388897739</c:v>
                </c:pt>
                <c:pt idx="143">
                  <c:v>8695451.3835787997</c:v>
                </c:pt>
                <c:pt idx="144">
                  <c:v>9175962.195714755</c:v>
                </c:pt>
                <c:pt idx="145">
                  <c:v>9024710.3319029883</c:v>
                </c:pt>
                <c:pt idx="146">
                  <c:v>8673506.0014392994</c:v>
                </c:pt>
                <c:pt idx="147">
                  <c:v>8061844.8233898431</c:v>
                </c:pt>
                <c:pt idx="148">
                  <c:v>7833615.5089242887</c:v>
                </c:pt>
                <c:pt idx="149">
                  <c:v>8147112.9458394749</c:v>
                </c:pt>
                <c:pt idx="150">
                  <c:v>8635868.0366723388</c:v>
                </c:pt>
                <c:pt idx="151">
                  <c:v>8512324.296115486</c:v>
                </c:pt>
                <c:pt idx="152">
                  <c:v>7685480.828449823</c:v>
                </c:pt>
                <c:pt idx="153">
                  <c:v>7566108.6209948547</c:v>
                </c:pt>
                <c:pt idx="154">
                  <c:v>8113472.5769266132</c:v>
                </c:pt>
                <c:pt idx="155">
                  <c:v>8902622.8345203679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5F-4C4E-89A8-799D0CDE0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3485000"/>
        <c:axId val="923482704"/>
      </c:lineChart>
      <c:dateAx>
        <c:axId val="923485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2704"/>
        <c:crosses val="autoZero"/>
        <c:auto val="1"/>
        <c:lblOffset val="100"/>
        <c:baseTimeUnit val="months"/>
      </c:dateAx>
      <c:valAx>
        <c:axId val="92348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5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50-999 Weather Normal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 &gt; 50 kW (WN)'!$F$2</c:f>
              <c:strCache>
                <c:ptCount val="1"/>
                <c:pt idx="0">
                  <c:v>GS50to999_NoCDM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'GS &gt; 50 kW (WN)'!$A$3:$A$128</c:f>
              <c:numCache>
                <c:formatCode>mmm\-yy</c:formatCode>
                <c:ptCount val="12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</c:numCache>
            </c:numRef>
          </c:cat>
          <c:val>
            <c:numRef>
              <c:f>'GS &gt; 50 kW (WN)'!$F$3:$F$128</c:f>
              <c:numCache>
                <c:formatCode>#,##0</c:formatCode>
                <c:ptCount val="126"/>
                <c:pt idx="0">
                  <c:v>16717266.821217919</c:v>
                </c:pt>
                <c:pt idx="1">
                  <c:v>15751669.901217917</c:v>
                </c:pt>
                <c:pt idx="2">
                  <c:v>16670464.701217921</c:v>
                </c:pt>
                <c:pt idx="3">
                  <c:v>14963148.60121792</c:v>
                </c:pt>
                <c:pt idx="4">
                  <c:v>15480338.171217926</c:v>
                </c:pt>
                <c:pt idx="5">
                  <c:v>16377529.561217919</c:v>
                </c:pt>
                <c:pt idx="6">
                  <c:v>17038934.041217919</c:v>
                </c:pt>
                <c:pt idx="7">
                  <c:v>16792927.091217916</c:v>
                </c:pt>
                <c:pt idx="8">
                  <c:v>15759561.551217917</c:v>
                </c:pt>
                <c:pt idx="9">
                  <c:v>15586290.931217926</c:v>
                </c:pt>
                <c:pt idx="10">
                  <c:v>15941400.461217923</c:v>
                </c:pt>
                <c:pt idx="11">
                  <c:v>16816631.181217916</c:v>
                </c:pt>
                <c:pt idx="12">
                  <c:v>16785266.463490896</c:v>
                </c:pt>
                <c:pt idx="13">
                  <c:v>16079301.203490896</c:v>
                </c:pt>
                <c:pt idx="14">
                  <c:v>16537471.803490892</c:v>
                </c:pt>
                <c:pt idx="15">
                  <c:v>14880264.923490893</c:v>
                </c:pt>
                <c:pt idx="16">
                  <c:v>17082202.913490895</c:v>
                </c:pt>
                <c:pt idx="17">
                  <c:v>16878400.213490888</c:v>
                </c:pt>
                <c:pt idx="18">
                  <c:v>17160081.253490891</c:v>
                </c:pt>
                <c:pt idx="19">
                  <c:v>16796041.313490894</c:v>
                </c:pt>
                <c:pt idx="20">
                  <c:v>15640179.133490894</c:v>
                </c:pt>
                <c:pt idx="21">
                  <c:v>15988881.633490898</c:v>
                </c:pt>
                <c:pt idx="22">
                  <c:v>16432215.043490896</c:v>
                </c:pt>
                <c:pt idx="23">
                  <c:v>16691357.483490892</c:v>
                </c:pt>
                <c:pt idx="24">
                  <c:v>17334132.91204248</c:v>
                </c:pt>
                <c:pt idx="25">
                  <c:v>16623683.162042486</c:v>
                </c:pt>
                <c:pt idx="26">
                  <c:v>17463321.022042483</c:v>
                </c:pt>
                <c:pt idx="27">
                  <c:v>16662389.712042477</c:v>
                </c:pt>
                <c:pt idx="28">
                  <c:v>16900534.112042483</c:v>
                </c:pt>
                <c:pt idx="29">
                  <c:v>17093096.532042481</c:v>
                </c:pt>
                <c:pt idx="30">
                  <c:v>18142506.432042487</c:v>
                </c:pt>
                <c:pt idx="31">
                  <c:v>17778187.962042481</c:v>
                </c:pt>
                <c:pt idx="32">
                  <c:v>16668477.222042486</c:v>
                </c:pt>
                <c:pt idx="33">
                  <c:v>17233627.082042478</c:v>
                </c:pt>
                <c:pt idx="34">
                  <c:v>16723236.692042481</c:v>
                </c:pt>
                <c:pt idx="35">
                  <c:v>18692544.082042485</c:v>
                </c:pt>
                <c:pt idx="36">
                  <c:v>18955499.508963756</c:v>
                </c:pt>
                <c:pt idx="37">
                  <c:v>17790077.53896375</c:v>
                </c:pt>
                <c:pt idx="38">
                  <c:v>18916153.298963755</c:v>
                </c:pt>
                <c:pt idx="39">
                  <c:v>17106261.98896376</c:v>
                </c:pt>
                <c:pt idx="40">
                  <c:v>16785651.398963757</c:v>
                </c:pt>
                <c:pt idx="41">
                  <c:v>17153006.328963753</c:v>
                </c:pt>
                <c:pt idx="42">
                  <c:v>17167656.628963754</c:v>
                </c:pt>
                <c:pt idx="43">
                  <c:v>17092221.068963751</c:v>
                </c:pt>
                <c:pt idx="44">
                  <c:v>16842020.668963756</c:v>
                </c:pt>
                <c:pt idx="45">
                  <c:v>16968667.128963754</c:v>
                </c:pt>
                <c:pt idx="46">
                  <c:v>17485013.278963756</c:v>
                </c:pt>
                <c:pt idx="47">
                  <c:v>18431183.118963756</c:v>
                </c:pt>
                <c:pt idx="48">
                  <c:v>19430730.418670163</c:v>
                </c:pt>
                <c:pt idx="49">
                  <c:v>18338750.900597889</c:v>
                </c:pt>
                <c:pt idx="50">
                  <c:v>18807365.387344867</c:v>
                </c:pt>
                <c:pt idx="51">
                  <c:v>17034456.596983433</c:v>
                </c:pt>
                <c:pt idx="52">
                  <c:v>17537336.143971372</c:v>
                </c:pt>
                <c:pt idx="53">
                  <c:v>17201197.724694267</c:v>
                </c:pt>
                <c:pt idx="54">
                  <c:v>18093211.662043665</c:v>
                </c:pt>
                <c:pt idx="55">
                  <c:v>17648873.695778605</c:v>
                </c:pt>
                <c:pt idx="56">
                  <c:v>17847440.221079815</c:v>
                </c:pt>
                <c:pt idx="57">
                  <c:v>16827940.095778607</c:v>
                </c:pt>
                <c:pt idx="58">
                  <c:v>16684572.645176196</c:v>
                </c:pt>
                <c:pt idx="59">
                  <c:v>16658204.809031619</c:v>
                </c:pt>
                <c:pt idx="60">
                  <c:v>18392987.23202993</c:v>
                </c:pt>
                <c:pt idx="61">
                  <c:v>17502931.916367285</c:v>
                </c:pt>
                <c:pt idx="62">
                  <c:v>17615636.032029931</c:v>
                </c:pt>
                <c:pt idx="63">
                  <c:v>16891925.130825114</c:v>
                </c:pt>
                <c:pt idx="64">
                  <c:v>16602755.501909452</c:v>
                </c:pt>
                <c:pt idx="65">
                  <c:v>17495167.299499799</c:v>
                </c:pt>
                <c:pt idx="66">
                  <c:v>18373376.195885357</c:v>
                </c:pt>
                <c:pt idx="67">
                  <c:v>19193976.494680539</c:v>
                </c:pt>
                <c:pt idx="68">
                  <c:v>17890059.858535945</c:v>
                </c:pt>
                <c:pt idx="69">
                  <c:v>16939090.046487764</c:v>
                </c:pt>
                <c:pt idx="70">
                  <c:v>17048086.017572101</c:v>
                </c:pt>
                <c:pt idx="71">
                  <c:v>18662560.716367282</c:v>
                </c:pt>
                <c:pt idx="72">
                  <c:v>19659234.081595186</c:v>
                </c:pt>
                <c:pt idx="73">
                  <c:v>17436974.630992774</c:v>
                </c:pt>
                <c:pt idx="74">
                  <c:v>19634422.014125314</c:v>
                </c:pt>
                <c:pt idx="75">
                  <c:v>17013785.724968679</c:v>
                </c:pt>
                <c:pt idx="76">
                  <c:v>18093877.252679512</c:v>
                </c:pt>
                <c:pt idx="77">
                  <c:v>19315178.650269885</c:v>
                </c:pt>
                <c:pt idx="78">
                  <c:v>19549131.777980741</c:v>
                </c:pt>
                <c:pt idx="79">
                  <c:v>19412331.565932523</c:v>
                </c:pt>
                <c:pt idx="80">
                  <c:v>19254316.134607218</c:v>
                </c:pt>
                <c:pt idx="81">
                  <c:v>18460397.773161445</c:v>
                </c:pt>
                <c:pt idx="82">
                  <c:v>18666476.115330122</c:v>
                </c:pt>
                <c:pt idx="83">
                  <c:v>19446811.238221694</c:v>
                </c:pt>
                <c:pt idx="84">
                  <c:v>21184390.447006177</c:v>
                </c:pt>
                <c:pt idx="85">
                  <c:v>18766666.803632692</c:v>
                </c:pt>
                <c:pt idx="86">
                  <c:v>17697661.348210998</c:v>
                </c:pt>
                <c:pt idx="87">
                  <c:v>19284257.097608585</c:v>
                </c:pt>
                <c:pt idx="88">
                  <c:v>19795859.748211004</c:v>
                </c:pt>
                <c:pt idx="89">
                  <c:v>21072458.919295345</c:v>
                </c:pt>
                <c:pt idx="90">
                  <c:v>20882452.104837507</c:v>
                </c:pt>
                <c:pt idx="91">
                  <c:v>21499366.514476053</c:v>
                </c:pt>
                <c:pt idx="92">
                  <c:v>19842338.148211002</c:v>
                </c:pt>
                <c:pt idx="93">
                  <c:v>19326961.830138713</c:v>
                </c:pt>
                <c:pt idx="94">
                  <c:v>19493164.066283286</c:v>
                </c:pt>
                <c:pt idx="95">
                  <c:v>20044221.165078472</c:v>
                </c:pt>
                <c:pt idx="96">
                  <c:v>21620563.218417685</c:v>
                </c:pt>
                <c:pt idx="97">
                  <c:v>19419033.849742986</c:v>
                </c:pt>
                <c:pt idx="98">
                  <c:v>20467345.232875522</c:v>
                </c:pt>
                <c:pt idx="99">
                  <c:v>18962848.172634561</c:v>
                </c:pt>
                <c:pt idx="100">
                  <c:v>19104958.755767088</c:v>
                </c:pt>
                <c:pt idx="101">
                  <c:v>18871763.652152628</c:v>
                </c:pt>
                <c:pt idx="102">
                  <c:v>21610925.483477946</c:v>
                </c:pt>
                <c:pt idx="103">
                  <c:v>20499002.408779137</c:v>
                </c:pt>
                <c:pt idx="104">
                  <c:v>19124595.555767093</c:v>
                </c:pt>
                <c:pt idx="105">
                  <c:v>19237444.143718898</c:v>
                </c:pt>
                <c:pt idx="106">
                  <c:v>19655626.620827332</c:v>
                </c:pt>
                <c:pt idx="107">
                  <c:v>20768680.182273109</c:v>
                </c:pt>
                <c:pt idx="108">
                  <c:v>22240497.13711904</c:v>
                </c:pt>
                <c:pt idx="109">
                  <c:v>20355118.476878062</c:v>
                </c:pt>
                <c:pt idx="110">
                  <c:v>19763421.609408177</c:v>
                </c:pt>
                <c:pt idx="111">
                  <c:v>17089130.553986501</c:v>
                </c:pt>
                <c:pt idx="112">
                  <c:v>17090225.378082871</c:v>
                </c:pt>
                <c:pt idx="113">
                  <c:v>18398254.573263608</c:v>
                </c:pt>
                <c:pt idx="114">
                  <c:v>20433793.725070819</c:v>
                </c:pt>
                <c:pt idx="115">
                  <c:v>19508210.264829874</c:v>
                </c:pt>
                <c:pt idx="116">
                  <c:v>18413970.168444328</c:v>
                </c:pt>
                <c:pt idx="117">
                  <c:v>18353398.004588902</c:v>
                </c:pt>
                <c:pt idx="118">
                  <c:v>18350168.269649133</c:v>
                </c:pt>
                <c:pt idx="119">
                  <c:v>19370101.339528672</c:v>
                </c:pt>
                <c:pt idx="120">
                  <c:v>20661840.874301441</c:v>
                </c:pt>
                <c:pt idx="121">
                  <c:v>19375614.165867694</c:v>
                </c:pt>
                <c:pt idx="122">
                  <c:v>19436199.679120708</c:v>
                </c:pt>
                <c:pt idx="123">
                  <c:v>17730405.462253235</c:v>
                </c:pt>
                <c:pt idx="124">
                  <c:v>17899844.845385753</c:v>
                </c:pt>
                <c:pt idx="125">
                  <c:v>19487327.052614685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FA-4E5D-9AD9-210D527FBCCA}"/>
            </c:ext>
          </c:extLst>
        </c:ser>
        <c:ser>
          <c:idx val="1"/>
          <c:order val="1"/>
          <c:tx>
            <c:strRef>
              <c:f>'GS &gt; 50 kW (WN)'!$O$2</c:f>
              <c:strCache>
                <c:ptCount val="1"/>
                <c:pt idx="0">
                  <c:v>Predicted Consumption + CDM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'GS &gt; 50 kW (WN)'!$A$3:$A$128</c:f>
              <c:numCache>
                <c:formatCode>mmm\-yy</c:formatCode>
                <c:ptCount val="12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</c:numCache>
            </c:numRef>
          </c:cat>
          <c:val>
            <c:numRef>
              <c:f>'GS &gt; 50 kW (WN)'!$O$3:$O$128</c:f>
              <c:numCache>
                <c:formatCode>#,##0_);\(#,##0\)</c:formatCode>
                <c:ptCount val="126"/>
                <c:pt idx="0">
                  <c:v>16260849.843245745</c:v>
                </c:pt>
                <c:pt idx="1">
                  <c:v>15612873.394249158</c:v>
                </c:pt>
                <c:pt idx="2">
                  <c:v>16513696.636268759</c:v>
                </c:pt>
                <c:pt idx="3">
                  <c:v>15037222.822149312</c:v>
                </c:pt>
                <c:pt idx="4">
                  <c:v>15664526.687477402</c:v>
                </c:pt>
                <c:pt idx="5">
                  <c:v>16489544.530570513</c:v>
                </c:pt>
                <c:pt idx="6">
                  <c:v>16688373.583877172</c:v>
                </c:pt>
                <c:pt idx="7">
                  <c:v>16768137.979657046</c:v>
                </c:pt>
                <c:pt idx="8">
                  <c:v>15786777.033338888</c:v>
                </c:pt>
                <c:pt idx="9">
                  <c:v>15570080.148900526</c:v>
                </c:pt>
                <c:pt idx="10">
                  <c:v>16343330.593193036</c:v>
                </c:pt>
                <c:pt idx="11">
                  <c:v>17032259.612269007</c:v>
                </c:pt>
                <c:pt idx="12">
                  <c:v>17182422.011521354</c:v>
                </c:pt>
                <c:pt idx="13">
                  <c:v>16618892.118223375</c:v>
                </c:pt>
                <c:pt idx="14">
                  <c:v>17157621.961134668</c:v>
                </c:pt>
                <c:pt idx="15">
                  <c:v>14952674.793959882</c:v>
                </c:pt>
                <c:pt idx="16">
                  <c:v>16889706.131193567</c:v>
                </c:pt>
                <c:pt idx="17">
                  <c:v>16690824.850610511</c:v>
                </c:pt>
                <c:pt idx="18">
                  <c:v>16828742.299766861</c:v>
                </c:pt>
                <c:pt idx="19">
                  <c:v>16851452.268744603</c:v>
                </c:pt>
                <c:pt idx="20">
                  <c:v>15900755.957245046</c:v>
                </c:pt>
                <c:pt idx="21">
                  <c:v>16060863.504278556</c:v>
                </c:pt>
                <c:pt idx="22">
                  <c:v>16427620.090290915</c:v>
                </c:pt>
                <c:pt idx="23">
                  <c:v>16906985.914541982</c:v>
                </c:pt>
                <c:pt idx="24">
                  <c:v>17661630.288036183</c:v>
                </c:pt>
                <c:pt idx="25">
                  <c:v>16602889.677852409</c:v>
                </c:pt>
                <c:pt idx="26">
                  <c:v>17400123.635948662</c:v>
                </c:pt>
                <c:pt idx="27">
                  <c:v>16593612.841875913</c:v>
                </c:pt>
                <c:pt idx="28">
                  <c:v>16784301.57371645</c:v>
                </c:pt>
                <c:pt idx="29">
                  <c:v>17246205.750506677</c:v>
                </c:pt>
                <c:pt idx="30">
                  <c:v>18222772.779904019</c:v>
                </c:pt>
                <c:pt idx="31">
                  <c:v>17970800.684491377</c:v>
                </c:pt>
                <c:pt idx="32">
                  <c:v>17010527.677195892</c:v>
                </c:pt>
                <c:pt idx="33">
                  <c:v>17237118.779790577</c:v>
                </c:pt>
                <c:pt idx="34">
                  <c:v>16483870.397213835</c:v>
                </c:pt>
                <c:pt idx="35">
                  <c:v>18108143.208880391</c:v>
                </c:pt>
                <c:pt idx="36">
                  <c:v>18236044.955987118</c:v>
                </c:pt>
                <c:pt idx="37">
                  <c:v>17220336.072155662</c:v>
                </c:pt>
                <c:pt idx="38">
                  <c:v>18147017.124616843</c:v>
                </c:pt>
                <c:pt idx="39">
                  <c:v>17102595.260996871</c:v>
                </c:pt>
                <c:pt idx="40">
                  <c:v>16934191.12323276</c:v>
                </c:pt>
                <c:pt idx="41">
                  <c:v>17127156.720651615</c:v>
                </c:pt>
                <c:pt idx="42">
                  <c:v>17687366.318131611</c:v>
                </c:pt>
                <c:pt idx="43">
                  <c:v>17393534.708417531</c:v>
                </c:pt>
                <c:pt idx="44">
                  <c:v>17023489.156467244</c:v>
                </c:pt>
                <c:pt idx="45">
                  <c:v>17046209.585961793</c:v>
                </c:pt>
                <c:pt idx="46">
                  <c:v>17242008.124401845</c:v>
                </c:pt>
                <c:pt idx="47">
                  <c:v>18525689.504607651</c:v>
                </c:pt>
                <c:pt idx="48">
                  <c:v>18885421.295785412</c:v>
                </c:pt>
                <c:pt idx="49">
                  <c:v>17146764.419401765</c:v>
                </c:pt>
                <c:pt idx="50">
                  <c:v>18428626.878666639</c:v>
                </c:pt>
                <c:pt idx="51">
                  <c:v>17167168.298042975</c:v>
                </c:pt>
                <c:pt idx="52">
                  <c:v>17383438.537970703</c:v>
                </c:pt>
                <c:pt idx="53">
                  <c:v>17541882.306038842</c:v>
                </c:pt>
                <c:pt idx="54">
                  <c:v>18325924.417899851</c:v>
                </c:pt>
                <c:pt idx="55">
                  <c:v>17875952.562643684</c:v>
                </c:pt>
                <c:pt idx="56">
                  <c:v>17488900.009927358</c:v>
                </c:pt>
                <c:pt idx="57">
                  <c:v>16953934.421984717</c:v>
                </c:pt>
                <c:pt idx="58">
                  <c:v>17028280.294979766</c:v>
                </c:pt>
                <c:pt idx="59">
                  <c:v>17414463.829024695</c:v>
                </c:pt>
                <c:pt idx="60">
                  <c:v>18481879.376942504</c:v>
                </c:pt>
                <c:pt idx="61">
                  <c:v>17747775.192705434</c:v>
                </c:pt>
                <c:pt idx="62">
                  <c:v>17931295.782591432</c:v>
                </c:pt>
                <c:pt idx="63">
                  <c:v>16658840.874900972</c:v>
                </c:pt>
                <c:pt idx="64">
                  <c:v>16559509.836544981</c:v>
                </c:pt>
                <c:pt idx="65">
                  <c:v>17425572.200197894</c:v>
                </c:pt>
                <c:pt idx="66">
                  <c:v>18164657.179026589</c:v>
                </c:pt>
                <c:pt idx="67">
                  <c:v>18684010.119414948</c:v>
                </c:pt>
                <c:pt idx="68">
                  <c:v>17579904.811660051</c:v>
                </c:pt>
                <c:pt idx="69">
                  <c:v>16761490.78624678</c:v>
                </c:pt>
                <c:pt idx="70">
                  <c:v>17489432.85249798</c:v>
                </c:pt>
                <c:pt idx="71">
                  <c:v>18493509.689901963</c:v>
                </c:pt>
                <c:pt idx="72">
                  <c:v>20067826.045930184</c:v>
                </c:pt>
                <c:pt idx="73">
                  <c:v>18041025.346714489</c:v>
                </c:pt>
                <c:pt idx="74">
                  <c:v>19465697.695766855</c:v>
                </c:pt>
                <c:pt idx="75">
                  <c:v>17250163.525232591</c:v>
                </c:pt>
                <c:pt idx="76">
                  <c:v>18350691.153177019</c:v>
                </c:pt>
                <c:pt idx="77">
                  <c:v>19372180.350650493</c:v>
                </c:pt>
                <c:pt idx="78">
                  <c:v>19740750.284725323</c:v>
                </c:pt>
                <c:pt idx="79">
                  <c:v>19775949.389523249</c:v>
                </c:pt>
                <c:pt idx="80">
                  <c:v>19074071.939761549</c:v>
                </c:pt>
                <c:pt idx="81">
                  <c:v>18293582.40869657</c:v>
                </c:pt>
                <c:pt idx="82">
                  <c:v>18698984.626286723</c:v>
                </c:pt>
                <c:pt idx="83">
                  <c:v>18703340.211005516</c:v>
                </c:pt>
                <c:pt idx="84">
                  <c:v>20951503.424077325</c:v>
                </c:pt>
                <c:pt idx="85">
                  <c:v>19143548.704577822</c:v>
                </c:pt>
                <c:pt idx="86">
                  <c:v>17638622.65895519</c:v>
                </c:pt>
                <c:pt idx="87">
                  <c:v>18915743.169857133</c:v>
                </c:pt>
                <c:pt idx="88">
                  <c:v>19528530.634908278</c:v>
                </c:pt>
                <c:pt idx="89">
                  <c:v>21101622.57995519</c:v>
                </c:pt>
                <c:pt idx="90">
                  <c:v>20734048.84070706</c:v>
                </c:pt>
                <c:pt idx="91">
                  <c:v>21216081.319793817</c:v>
                </c:pt>
                <c:pt idx="92">
                  <c:v>19617685.651906025</c:v>
                </c:pt>
                <c:pt idx="93">
                  <c:v>19214141.246967401</c:v>
                </c:pt>
                <c:pt idx="94">
                  <c:v>19183567.705958724</c:v>
                </c:pt>
                <c:pt idx="95">
                  <c:v>20105977.813122999</c:v>
                </c:pt>
                <c:pt idx="96">
                  <c:v>21220288.647758719</c:v>
                </c:pt>
                <c:pt idx="97">
                  <c:v>19449184.401818596</c:v>
                </c:pt>
                <c:pt idx="98">
                  <c:v>20200891.538823705</c:v>
                </c:pt>
                <c:pt idx="99">
                  <c:v>19039717.335248243</c:v>
                </c:pt>
                <c:pt idx="100">
                  <c:v>19529827.373100244</c:v>
                </c:pt>
                <c:pt idx="101">
                  <c:v>19162737.448281553</c:v>
                </c:pt>
                <c:pt idx="102">
                  <c:v>21468487.513573378</c:v>
                </c:pt>
                <c:pt idx="103">
                  <c:v>20605449.770187579</c:v>
                </c:pt>
                <c:pt idx="104">
                  <c:v>19187602.803243328</c:v>
                </c:pt>
                <c:pt idx="105">
                  <c:v>19472409.232203707</c:v>
                </c:pt>
                <c:pt idx="106">
                  <c:v>19261348.868782617</c:v>
                </c:pt>
                <c:pt idx="107">
                  <c:v>20732707.454624277</c:v>
                </c:pt>
                <c:pt idx="108">
                  <c:v>22669362.748539362</c:v>
                </c:pt>
                <c:pt idx="109">
                  <c:v>20478319.870704263</c:v>
                </c:pt>
                <c:pt idx="110">
                  <c:v>20175680.144443154</c:v>
                </c:pt>
                <c:pt idx="111">
                  <c:v>17107895.269275222</c:v>
                </c:pt>
                <c:pt idx="112">
                  <c:v>17028323.444816392</c:v>
                </c:pt>
                <c:pt idx="113">
                  <c:v>18240505.68151262</c:v>
                </c:pt>
                <c:pt idx="114">
                  <c:v>19967904.246029768</c:v>
                </c:pt>
                <c:pt idx="115">
                  <c:v>19458897.16589595</c:v>
                </c:pt>
                <c:pt idx="116">
                  <c:v>18591370.87612018</c:v>
                </c:pt>
                <c:pt idx="117">
                  <c:v>18458820.994160336</c:v>
                </c:pt>
                <c:pt idx="118">
                  <c:v>18608283.178310737</c:v>
                </c:pt>
                <c:pt idx="119">
                  <c:v>19412624.014697377</c:v>
                </c:pt>
                <c:pt idx="120">
                  <c:v>20908763.499058597</c:v>
                </c:pt>
                <c:pt idx="121">
                  <c:v>19239416.844422694</c:v>
                </c:pt>
                <c:pt idx="122">
                  <c:v>19793420.006665494</c:v>
                </c:pt>
                <c:pt idx="123">
                  <c:v>17867313.994367436</c:v>
                </c:pt>
                <c:pt idx="124">
                  <c:v>17904726.241843797</c:v>
                </c:pt>
                <c:pt idx="125">
                  <c:v>19057163.057881948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FA-4E5D-9AD9-210D527FB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3485000"/>
        <c:axId val="923482704"/>
      </c:lineChart>
      <c:dateAx>
        <c:axId val="923485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2704"/>
        <c:crosses val="autoZero"/>
        <c:auto val="1"/>
        <c:lblOffset val="100"/>
        <c:baseTimeUnit val="months"/>
      </c:dateAx>
      <c:valAx>
        <c:axId val="92348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5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&lt; 50 kW Weather Normalized</a:t>
            </a:r>
            <a:r>
              <a:rPr lang="en-US" baseline="0"/>
              <a:t> (Trend)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 &lt; 50 kW (WN) Trend'!$F$2</c:f>
              <c:strCache>
                <c:ptCount val="1"/>
                <c:pt idx="0">
                  <c:v> GSlt50_NoCDM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'GS &lt; 50 kW (WN) Trend'!$A$3:$A$158</c:f>
              <c:numCache>
                <c:formatCode>mmm\-yy</c:formatCode>
                <c:ptCount val="15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  <c:pt idx="126">
                  <c:v>44378</c:v>
                </c:pt>
                <c:pt idx="127">
                  <c:v>44409</c:v>
                </c:pt>
                <c:pt idx="128">
                  <c:v>44440</c:v>
                </c:pt>
                <c:pt idx="129">
                  <c:v>44470</c:v>
                </c:pt>
                <c:pt idx="130">
                  <c:v>44501</c:v>
                </c:pt>
                <c:pt idx="131">
                  <c:v>44531</c:v>
                </c:pt>
                <c:pt idx="132">
                  <c:v>44562</c:v>
                </c:pt>
                <c:pt idx="133">
                  <c:v>44593</c:v>
                </c:pt>
                <c:pt idx="134">
                  <c:v>44621</c:v>
                </c:pt>
                <c:pt idx="135">
                  <c:v>44652</c:v>
                </c:pt>
                <c:pt idx="136">
                  <c:v>44682</c:v>
                </c:pt>
                <c:pt idx="137">
                  <c:v>44713</c:v>
                </c:pt>
                <c:pt idx="138">
                  <c:v>44743</c:v>
                </c:pt>
                <c:pt idx="139">
                  <c:v>44774</c:v>
                </c:pt>
                <c:pt idx="140">
                  <c:v>44805</c:v>
                </c:pt>
                <c:pt idx="141">
                  <c:v>44835</c:v>
                </c:pt>
                <c:pt idx="142">
                  <c:v>44866</c:v>
                </c:pt>
                <c:pt idx="143">
                  <c:v>44896</c:v>
                </c:pt>
                <c:pt idx="144">
                  <c:v>44927</c:v>
                </c:pt>
                <c:pt idx="145">
                  <c:v>44958</c:v>
                </c:pt>
                <c:pt idx="146">
                  <c:v>44986</c:v>
                </c:pt>
                <c:pt idx="147">
                  <c:v>45017</c:v>
                </c:pt>
                <c:pt idx="148">
                  <c:v>45047</c:v>
                </c:pt>
                <c:pt idx="149">
                  <c:v>45078</c:v>
                </c:pt>
                <c:pt idx="150">
                  <c:v>45108</c:v>
                </c:pt>
                <c:pt idx="151">
                  <c:v>45139</c:v>
                </c:pt>
                <c:pt idx="152">
                  <c:v>45170</c:v>
                </c:pt>
                <c:pt idx="153">
                  <c:v>45200</c:v>
                </c:pt>
                <c:pt idx="154">
                  <c:v>45231</c:v>
                </c:pt>
                <c:pt idx="155">
                  <c:v>45261</c:v>
                </c:pt>
              </c:numCache>
            </c:numRef>
          </c:cat>
          <c:val>
            <c:numRef>
              <c:f>'GS &lt; 50 kW (WN) Trend'!$F$3:$F$127</c:f>
              <c:numCache>
                <c:formatCode>_(* #,##0_);_(* \(#,##0\);_(* "-"??_);_(@_)</c:formatCode>
                <c:ptCount val="125"/>
                <c:pt idx="0">
                  <c:v>6864837.5606799051</c:v>
                </c:pt>
                <c:pt idx="1">
                  <c:v>7486989.0006799055</c:v>
                </c:pt>
                <c:pt idx="2">
                  <c:v>7162036.2106799055</c:v>
                </c:pt>
                <c:pt idx="3">
                  <c:v>6476547.8606799087</c:v>
                </c:pt>
                <c:pt idx="4">
                  <c:v>6403514.4906799076</c:v>
                </c:pt>
                <c:pt idx="5">
                  <c:v>6877896.1406799043</c:v>
                </c:pt>
                <c:pt idx="6">
                  <c:v>7234914.1806799052</c:v>
                </c:pt>
                <c:pt idx="7">
                  <c:v>7344852.5306799076</c:v>
                </c:pt>
                <c:pt idx="8">
                  <c:v>6374849.0306799021</c:v>
                </c:pt>
                <c:pt idx="9">
                  <c:v>6197006.2306798976</c:v>
                </c:pt>
                <c:pt idx="10">
                  <c:v>6512655.0606799014</c:v>
                </c:pt>
                <c:pt idx="11">
                  <c:v>8516346.6906799022</c:v>
                </c:pt>
                <c:pt idx="12">
                  <c:v>6574209.2444903748</c:v>
                </c:pt>
                <c:pt idx="13">
                  <c:v>7340119.5544903772</c:v>
                </c:pt>
                <c:pt idx="14">
                  <c:v>6958502.994490372</c:v>
                </c:pt>
                <c:pt idx="15">
                  <c:v>6528936.0744903851</c:v>
                </c:pt>
                <c:pt idx="16">
                  <c:v>6426033.404490374</c:v>
                </c:pt>
                <c:pt idx="17">
                  <c:v>6971087.1044903705</c:v>
                </c:pt>
                <c:pt idx="18">
                  <c:v>7716520.8544903751</c:v>
                </c:pt>
                <c:pt idx="19">
                  <c:v>7843878.4144903794</c:v>
                </c:pt>
                <c:pt idx="20">
                  <c:v>6441465.9444903778</c:v>
                </c:pt>
                <c:pt idx="21">
                  <c:v>6350300.914490371</c:v>
                </c:pt>
                <c:pt idx="22">
                  <c:v>7024430.374490384</c:v>
                </c:pt>
                <c:pt idx="23">
                  <c:v>8378458.2844903842</c:v>
                </c:pt>
                <c:pt idx="24">
                  <c:v>7057432.2289354121</c:v>
                </c:pt>
                <c:pt idx="25">
                  <c:v>7593243.098935415</c:v>
                </c:pt>
                <c:pt idx="26">
                  <c:v>7735467.3789354125</c:v>
                </c:pt>
                <c:pt idx="27">
                  <c:v>6936016.7489354145</c:v>
                </c:pt>
                <c:pt idx="28">
                  <c:v>6937866.048935418</c:v>
                </c:pt>
                <c:pt idx="29">
                  <c:v>6780363.4189354125</c:v>
                </c:pt>
                <c:pt idx="30">
                  <c:v>7593943.1689354144</c:v>
                </c:pt>
                <c:pt idx="31">
                  <c:v>7611748.6689354172</c:v>
                </c:pt>
                <c:pt idx="32">
                  <c:v>6250680.5689354129</c:v>
                </c:pt>
                <c:pt idx="33">
                  <c:v>6826886.2589354143</c:v>
                </c:pt>
                <c:pt idx="34">
                  <c:v>6939097.1989354165</c:v>
                </c:pt>
                <c:pt idx="35">
                  <c:v>9532516.128935419</c:v>
                </c:pt>
                <c:pt idx="36">
                  <c:v>7487898.8517205259</c:v>
                </c:pt>
                <c:pt idx="37">
                  <c:v>8502995.9417205229</c:v>
                </c:pt>
                <c:pt idx="38">
                  <c:v>8235800.4217205308</c:v>
                </c:pt>
                <c:pt idx="39">
                  <c:v>7581461.2417205265</c:v>
                </c:pt>
                <c:pt idx="40">
                  <c:v>6902215.0417205226</c:v>
                </c:pt>
                <c:pt idx="41">
                  <c:v>6554303.0217205258</c:v>
                </c:pt>
                <c:pt idx="42">
                  <c:v>7496044.9317205288</c:v>
                </c:pt>
                <c:pt idx="43">
                  <c:v>7049683.7417205274</c:v>
                </c:pt>
                <c:pt idx="44">
                  <c:v>6616002.9717205288</c:v>
                </c:pt>
                <c:pt idx="45">
                  <c:v>6897925.29172053</c:v>
                </c:pt>
                <c:pt idx="46">
                  <c:v>7293217.2817205237</c:v>
                </c:pt>
                <c:pt idx="47">
                  <c:v>9033496.731720522</c:v>
                </c:pt>
                <c:pt idx="48">
                  <c:v>9162367.7804134693</c:v>
                </c:pt>
                <c:pt idx="49">
                  <c:v>8827828.0406544302</c:v>
                </c:pt>
                <c:pt idx="50">
                  <c:v>8435812.8310158737</c:v>
                </c:pt>
                <c:pt idx="51">
                  <c:v>7370231.4141484043</c:v>
                </c:pt>
                <c:pt idx="52">
                  <c:v>7077182.7683652705</c:v>
                </c:pt>
                <c:pt idx="53">
                  <c:v>6914019.9057146711</c:v>
                </c:pt>
                <c:pt idx="54">
                  <c:v>7837310.6719797337</c:v>
                </c:pt>
                <c:pt idx="55">
                  <c:v>7385438.6527026212</c:v>
                </c:pt>
                <c:pt idx="56">
                  <c:v>7261609.6984857554</c:v>
                </c:pt>
                <c:pt idx="57">
                  <c:v>6991164.0021002153</c:v>
                </c:pt>
                <c:pt idx="58">
                  <c:v>6518609.4286062401</c:v>
                </c:pt>
                <c:pt idx="59">
                  <c:v>6890863.0382447885</c:v>
                </c:pt>
                <c:pt idx="60">
                  <c:v>8689256.1018550042</c:v>
                </c:pt>
                <c:pt idx="61">
                  <c:v>8524672.8247465622</c:v>
                </c:pt>
                <c:pt idx="62">
                  <c:v>8034077.1524574133</c:v>
                </c:pt>
                <c:pt idx="63">
                  <c:v>7906470.30908392</c:v>
                </c:pt>
                <c:pt idx="64">
                  <c:v>6742797.6054694587</c:v>
                </c:pt>
                <c:pt idx="65">
                  <c:v>7675214.5211321106</c:v>
                </c:pt>
                <c:pt idx="66">
                  <c:v>8203345.3452284951</c:v>
                </c:pt>
                <c:pt idx="67">
                  <c:v>8087094.0199272949</c:v>
                </c:pt>
                <c:pt idx="68">
                  <c:v>7364858.7428188557</c:v>
                </c:pt>
                <c:pt idx="69">
                  <c:v>6481920.940409217</c:v>
                </c:pt>
                <c:pt idx="70">
                  <c:v>6598590.6946260817</c:v>
                </c:pt>
                <c:pt idx="71">
                  <c:v>8424033.8464333117</c:v>
                </c:pt>
                <c:pt idx="72">
                  <c:v>8961782.937473489</c:v>
                </c:pt>
                <c:pt idx="73">
                  <c:v>7475683.5639795121</c:v>
                </c:pt>
                <c:pt idx="74">
                  <c:v>8386104.0073530022</c:v>
                </c:pt>
                <c:pt idx="75">
                  <c:v>6961618.7254252993</c:v>
                </c:pt>
                <c:pt idx="76">
                  <c:v>6487938.850726502</c:v>
                </c:pt>
                <c:pt idx="77">
                  <c:v>7096252.9422927629</c:v>
                </c:pt>
                <c:pt idx="78">
                  <c:v>6969986.9760277011</c:v>
                </c:pt>
                <c:pt idx="79">
                  <c:v>7469547.1206060164</c:v>
                </c:pt>
                <c:pt idx="80">
                  <c:v>6971224.8651843295</c:v>
                </c:pt>
                <c:pt idx="81">
                  <c:v>6295611.4001240861</c:v>
                </c:pt>
                <c:pt idx="82">
                  <c:v>7055249.0097626392</c:v>
                </c:pt>
                <c:pt idx="83">
                  <c:v>7872393.2507264968</c:v>
                </c:pt>
                <c:pt idx="84">
                  <c:v>8973675.8913750686</c:v>
                </c:pt>
                <c:pt idx="85">
                  <c:v>7560592.093784716</c:v>
                </c:pt>
                <c:pt idx="86">
                  <c:v>8232567.2745076045</c:v>
                </c:pt>
                <c:pt idx="87">
                  <c:v>7175356.5853509782</c:v>
                </c:pt>
                <c:pt idx="88">
                  <c:v>7104279.4576401319</c:v>
                </c:pt>
                <c:pt idx="89">
                  <c:v>7590209.0961943539</c:v>
                </c:pt>
                <c:pt idx="90">
                  <c:v>7685013.5202907361</c:v>
                </c:pt>
                <c:pt idx="91">
                  <c:v>8305832.5949895326</c:v>
                </c:pt>
                <c:pt idx="92">
                  <c:v>7235600.4407726647</c:v>
                </c:pt>
                <c:pt idx="93">
                  <c:v>6858390.011857003</c:v>
                </c:pt>
                <c:pt idx="94">
                  <c:v>6844367.4480015812</c:v>
                </c:pt>
                <c:pt idx="95">
                  <c:v>8731785.7901702579</c:v>
                </c:pt>
                <c:pt idx="96">
                  <c:v>9100450.7979688402</c:v>
                </c:pt>
                <c:pt idx="97">
                  <c:v>8257335.0678483583</c:v>
                </c:pt>
                <c:pt idx="98">
                  <c:v>8209950.1811013678</c:v>
                </c:pt>
                <c:pt idx="99">
                  <c:v>7384598.2196555957</c:v>
                </c:pt>
                <c:pt idx="100">
                  <c:v>7011908.0220652344</c:v>
                </c:pt>
                <c:pt idx="101">
                  <c:v>6642423.5594146261</c:v>
                </c:pt>
                <c:pt idx="102">
                  <c:v>7953798.4027881147</c:v>
                </c:pt>
                <c:pt idx="103">
                  <c:v>7820229.9304989632</c:v>
                </c:pt>
                <c:pt idx="104">
                  <c:v>7019323.2991736615</c:v>
                </c:pt>
                <c:pt idx="105">
                  <c:v>6782854.7690531816</c:v>
                </c:pt>
                <c:pt idx="106">
                  <c:v>6765629.6027881224</c:v>
                </c:pt>
                <c:pt idx="107">
                  <c:v>8143431.5883302838</c:v>
                </c:pt>
                <c:pt idx="108">
                  <c:v>9133853.9773062132</c:v>
                </c:pt>
                <c:pt idx="109">
                  <c:v>8086938.7194748772</c:v>
                </c:pt>
                <c:pt idx="110">
                  <c:v>7679145.8712821063</c:v>
                </c:pt>
                <c:pt idx="111">
                  <c:v>6710329.7941736775</c:v>
                </c:pt>
                <c:pt idx="112">
                  <c:v>6149818.835137534</c:v>
                </c:pt>
                <c:pt idx="113">
                  <c:v>6828756.04959537</c:v>
                </c:pt>
                <c:pt idx="114">
                  <c:v>7775470.7291134307</c:v>
                </c:pt>
                <c:pt idx="115">
                  <c:v>7602092.4544146396</c:v>
                </c:pt>
                <c:pt idx="116">
                  <c:v>6802526.1989929536</c:v>
                </c:pt>
                <c:pt idx="117">
                  <c:v>6713600.6953784954</c:v>
                </c:pt>
                <c:pt idx="118">
                  <c:v>6639791.5001977691</c:v>
                </c:pt>
                <c:pt idx="119">
                  <c:v>7370193.7845351249</c:v>
                </c:pt>
                <c:pt idx="120">
                  <c:v>9052771.0857710969</c:v>
                </c:pt>
                <c:pt idx="121">
                  <c:v>8634891.8664939813</c:v>
                </c:pt>
                <c:pt idx="122">
                  <c:v>7932623.7508313302</c:v>
                </c:pt>
                <c:pt idx="123">
                  <c:v>7283139.1821566392</c:v>
                </c:pt>
                <c:pt idx="124">
                  <c:v>6652107.6448072325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95-491D-A708-DF3FC88B6E6F}"/>
            </c:ext>
          </c:extLst>
        </c:ser>
        <c:ser>
          <c:idx val="1"/>
          <c:order val="1"/>
          <c:tx>
            <c:strRef>
              <c:f>'GS &lt; 50 kW (WN) Trend'!$O$2</c:f>
              <c:strCache>
                <c:ptCount val="1"/>
                <c:pt idx="0">
                  <c:v>Predicted Consumption + CDM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'GS &lt; 50 kW (WN) Trend'!$A$3:$A$158</c:f>
              <c:numCache>
                <c:formatCode>mmm\-yy</c:formatCode>
                <c:ptCount val="15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  <c:pt idx="126">
                  <c:v>44378</c:v>
                </c:pt>
                <c:pt idx="127">
                  <c:v>44409</c:v>
                </c:pt>
                <c:pt idx="128">
                  <c:v>44440</c:v>
                </c:pt>
                <c:pt idx="129">
                  <c:v>44470</c:v>
                </c:pt>
                <c:pt idx="130">
                  <c:v>44501</c:v>
                </c:pt>
                <c:pt idx="131">
                  <c:v>44531</c:v>
                </c:pt>
                <c:pt idx="132">
                  <c:v>44562</c:v>
                </c:pt>
                <c:pt idx="133">
                  <c:v>44593</c:v>
                </c:pt>
                <c:pt idx="134">
                  <c:v>44621</c:v>
                </c:pt>
                <c:pt idx="135">
                  <c:v>44652</c:v>
                </c:pt>
                <c:pt idx="136">
                  <c:v>44682</c:v>
                </c:pt>
                <c:pt idx="137">
                  <c:v>44713</c:v>
                </c:pt>
                <c:pt idx="138">
                  <c:v>44743</c:v>
                </c:pt>
                <c:pt idx="139">
                  <c:v>44774</c:v>
                </c:pt>
                <c:pt idx="140">
                  <c:v>44805</c:v>
                </c:pt>
                <c:pt idx="141">
                  <c:v>44835</c:v>
                </c:pt>
                <c:pt idx="142">
                  <c:v>44866</c:v>
                </c:pt>
                <c:pt idx="143">
                  <c:v>44896</c:v>
                </c:pt>
                <c:pt idx="144">
                  <c:v>44927</c:v>
                </c:pt>
                <c:pt idx="145">
                  <c:v>44958</c:v>
                </c:pt>
                <c:pt idx="146">
                  <c:v>44986</c:v>
                </c:pt>
                <c:pt idx="147">
                  <c:v>45017</c:v>
                </c:pt>
                <c:pt idx="148">
                  <c:v>45047</c:v>
                </c:pt>
                <c:pt idx="149">
                  <c:v>45078</c:v>
                </c:pt>
                <c:pt idx="150">
                  <c:v>45108</c:v>
                </c:pt>
                <c:pt idx="151">
                  <c:v>45139</c:v>
                </c:pt>
                <c:pt idx="152">
                  <c:v>45170</c:v>
                </c:pt>
                <c:pt idx="153">
                  <c:v>45200</c:v>
                </c:pt>
                <c:pt idx="154">
                  <c:v>45231</c:v>
                </c:pt>
                <c:pt idx="155">
                  <c:v>45261</c:v>
                </c:pt>
              </c:numCache>
            </c:numRef>
          </c:cat>
          <c:val>
            <c:numRef>
              <c:f>'GS &lt; 50 kW (WN) Trend'!$O$3:$O$158</c:f>
              <c:numCache>
                <c:formatCode>#,##0_);\(#,##0\)</c:formatCode>
                <c:ptCount val="156"/>
                <c:pt idx="0">
                  <c:v>6543269.5310846046</c:v>
                </c:pt>
                <c:pt idx="1">
                  <c:v>7389832.9483850412</c:v>
                </c:pt>
                <c:pt idx="2">
                  <c:v>6998065.4821060551</c:v>
                </c:pt>
                <c:pt idx="3">
                  <c:v>6511788.224597632</c:v>
                </c:pt>
                <c:pt idx="4">
                  <c:v>6566021.8985332157</c:v>
                </c:pt>
                <c:pt idx="5">
                  <c:v>7001690.4241096629</c:v>
                </c:pt>
                <c:pt idx="6">
                  <c:v>6993913.4475955591</c:v>
                </c:pt>
                <c:pt idx="7">
                  <c:v>7378899.711182218</c:v>
                </c:pt>
                <c:pt idx="8">
                  <c:v>6379095.6920763757</c:v>
                </c:pt>
                <c:pt idx="9">
                  <c:v>6130730.1914613396</c:v>
                </c:pt>
                <c:pt idx="10">
                  <c:v>6806222.2345006624</c:v>
                </c:pt>
                <c:pt idx="11">
                  <c:v>8611923.9707038626</c:v>
                </c:pt>
                <c:pt idx="12">
                  <c:v>6817486.8262206204</c:v>
                </c:pt>
                <c:pt idx="13">
                  <c:v>7678121.6619560579</c:v>
                </c:pt>
                <c:pt idx="14">
                  <c:v>7470421.3436923893</c:v>
                </c:pt>
                <c:pt idx="15">
                  <c:v>6567862.1300796289</c:v>
                </c:pt>
                <c:pt idx="16">
                  <c:v>6452021.1863197731</c:v>
                </c:pt>
                <c:pt idx="17">
                  <c:v>6861233.2083129873</c:v>
                </c:pt>
                <c:pt idx="18">
                  <c:v>7489917.6628156779</c:v>
                </c:pt>
                <c:pt idx="19">
                  <c:v>7937998.0953570874</c:v>
                </c:pt>
                <c:pt idx="20">
                  <c:v>6542716.4662639033</c:v>
                </c:pt>
                <c:pt idx="21">
                  <c:v>6334973.21905996</c:v>
                </c:pt>
                <c:pt idx="22">
                  <c:v>7001174.888121848</c:v>
                </c:pt>
                <c:pt idx="23">
                  <c:v>8475755.5572406705</c:v>
                </c:pt>
                <c:pt idx="24">
                  <c:v>7254614.0056001134</c:v>
                </c:pt>
                <c:pt idx="25">
                  <c:v>7574174.7164157638</c:v>
                </c:pt>
                <c:pt idx="26">
                  <c:v>7633416.388509308</c:v>
                </c:pt>
                <c:pt idx="27">
                  <c:v>6879945.029957951</c:v>
                </c:pt>
                <c:pt idx="28">
                  <c:v>6974020.0919917142</c:v>
                </c:pt>
                <c:pt idx="29">
                  <c:v>6915072.4179946873</c:v>
                </c:pt>
                <c:pt idx="30">
                  <c:v>7675645.9502052693</c:v>
                </c:pt>
                <c:pt idx="31">
                  <c:v>7808637.0074503096</c:v>
                </c:pt>
                <c:pt idx="32">
                  <c:v>6408946.665911423</c:v>
                </c:pt>
                <c:pt idx="33">
                  <c:v>6848608.335485247</c:v>
                </c:pt>
                <c:pt idx="34">
                  <c:v>6763794.3555596378</c:v>
                </c:pt>
                <c:pt idx="35">
                  <c:v>9098679.647796154</c:v>
                </c:pt>
                <c:pt idx="36">
                  <c:v>6992267.5582210068</c:v>
                </c:pt>
                <c:pt idx="37">
                  <c:v>8120665.0954007646</c:v>
                </c:pt>
                <c:pt idx="38">
                  <c:v>7666599.4068242125</c:v>
                </c:pt>
                <c:pt idx="39">
                  <c:v>7543004.0148785301</c:v>
                </c:pt>
                <c:pt idx="40">
                  <c:v>7095553.7976652617</c:v>
                </c:pt>
                <c:pt idx="41">
                  <c:v>6574832.1805569399</c:v>
                </c:pt>
                <c:pt idx="42">
                  <c:v>7906905.2976316707</c:v>
                </c:pt>
                <c:pt idx="43">
                  <c:v>7327992.6592417108</c:v>
                </c:pt>
                <c:pt idx="44">
                  <c:v>6677004.3877725992</c:v>
                </c:pt>
                <c:pt idx="45">
                  <c:v>6897986.7956646681</c:v>
                </c:pt>
                <c:pt idx="46">
                  <c:v>7104498.4950794</c:v>
                </c:pt>
                <c:pt idx="47">
                  <c:v>9048922.3506976776</c:v>
                </c:pt>
                <c:pt idx="48">
                  <c:v>8781975.999577811</c:v>
                </c:pt>
                <c:pt idx="49">
                  <c:v>8033730.9356521638</c:v>
                </c:pt>
                <c:pt idx="50">
                  <c:v>8124954.7236137604</c:v>
                </c:pt>
                <c:pt idx="51">
                  <c:v>7461891.3180716345</c:v>
                </c:pt>
                <c:pt idx="52">
                  <c:v>7078090.1609717701</c:v>
                </c:pt>
                <c:pt idx="53">
                  <c:v>7184874.2544022901</c:v>
                </c:pt>
                <c:pt idx="54">
                  <c:v>8033200.8506364608</c:v>
                </c:pt>
                <c:pt idx="55">
                  <c:v>7608143.2723658495</c:v>
                </c:pt>
                <c:pt idx="56">
                  <c:v>7018365.0604661014</c:v>
                </c:pt>
                <c:pt idx="57">
                  <c:v>6977197.1865228433</c:v>
                </c:pt>
                <c:pt idx="58">
                  <c:v>6783022.4067344163</c:v>
                </c:pt>
                <c:pt idx="59">
                  <c:v>7345230.8009804077</c:v>
                </c:pt>
                <c:pt idx="60">
                  <c:v>8728542.5462429542</c:v>
                </c:pt>
                <c:pt idx="61">
                  <c:v>8667627.7570468448</c:v>
                </c:pt>
                <c:pt idx="62">
                  <c:v>8202753.0171550633</c:v>
                </c:pt>
                <c:pt idx="63">
                  <c:v>7718306.9273066046</c:v>
                </c:pt>
                <c:pt idx="64">
                  <c:v>6695559.08933568</c:v>
                </c:pt>
                <c:pt idx="65">
                  <c:v>7642383.5677815154</c:v>
                </c:pt>
                <c:pt idx="66">
                  <c:v>8068588.5384084554</c:v>
                </c:pt>
                <c:pt idx="67">
                  <c:v>7757727.3965722574</c:v>
                </c:pt>
                <c:pt idx="68">
                  <c:v>7174665.5016044164</c:v>
                </c:pt>
                <c:pt idx="69">
                  <c:v>6418660.2127562556</c:v>
                </c:pt>
                <c:pt idx="70">
                  <c:v>6897016.6884080376</c:v>
                </c:pt>
                <c:pt idx="71">
                  <c:v>8265052.2029609848</c:v>
                </c:pt>
                <c:pt idx="72">
                  <c:v>9212628.487199571</c:v>
                </c:pt>
                <c:pt idx="73">
                  <c:v>7873197.419776082</c:v>
                </c:pt>
                <c:pt idx="74">
                  <c:v>8218005.2962359693</c:v>
                </c:pt>
                <c:pt idx="75">
                  <c:v>7194496.9513812168</c:v>
                </c:pt>
                <c:pt idx="76">
                  <c:v>6616021.2299046675</c:v>
                </c:pt>
                <c:pt idx="77">
                  <c:v>7172957.2108412366</c:v>
                </c:pt>
                <c:pt idx="78">
                  <c:v>7135096.2040844886</c:v>
                </c:pt>
                <c:pt idx="79">
                  <c:v>7794523.9309722688</c:v>
                </c:pt>
                <c:pt idx="80">
                  <c:v>6831996.3580114786</c:v>
                </c:pt>
                <c:pt idx="81">
                  <c:v>6314639.3937730445</c:v>
                </c:pt>
                <c:pt idx="82">
                  <c:v>7047817.4564763037</c:v>
                </c:pt>
                <c:pt idx="83">
                  <c:v>7333293.2147360649</c:v>
                </c:pt>
                <c:pt idx="84">
                  <c:v>8800027.2362438273</c:v>
                </c:pt>
                <c:pt idx="85">
                  <c:v>7804682.598392983</c:v>
                </c:pt>
                <c:pt idx="86">
                  <c:v>8133268.2724436224</c:v>
                </c:pt>
                <c:pt idx="87">
                  <c:v>6860668.5266609835</c:v>
                </c:pt>
                <c:pt idx="88">
                  <c:v>7124824.995982795</c:v>
                </c:pt>
                <c:pt idx="89">
                  <c:v>7637657.0981418388</c:v>
                </c:pt>
                <c:pt idx="90">
                  <c:v>7595435.205480285</c:v>
                </c:pt>
                <c:pt idx="91">
                  <c:v>8146257.6668793214</c:v>
                </c:pt>
                <c:pt idx="92">
                  <c:v>7051228.7247536965</c:v>
                </c:pt>
                <c:pt idx="93">
                  <c:v>6664127.6208897429</c:v>
                </c:pt>
                <c:pt idx="94">
                  <c:v>6614368.8359286273</c:v>
                </c:pt>
                <c:pt idx="95">
                  <c:v>8725539.5007957034</c:v>
                </c:pt>
                <c:pt idx="96">
                  <c:v>8816034.6112621874</c:v>
                </c:pt>
                <c:pt idx="97">
                  <c:v>8271978.5427647009</c:v>
                </c:pt>
                <c:pt idx="98">
                  <c:v>7973395.759476549</c:v>
                </c:pt>
                <c:pt idx="99">
                  <c:v>7380884.8458853895</c:v>
                </c:pt>
                <c:pt idx="100">
                  <c:v>7221243.3975217734</c:v>
                </c:pt>
                <c:pt idx="101">
                  <c:v>6866950.235220436</c:v>
                </c:pt>
                <c:pt idx="102">
                  <c:v>7868688.2904841062</c:v>
                </c:pt>
                <c:pt idx="103">
                  <c:v>7952577.5661430145</c:v>
                </c:pt>
                <c:pt idx="104">
                  <c:v>7098707.8305992652</c:v>
                </c:pt>
                <c:pt idx="105">
                  <c:v>6811172.0485439776</c:v>
                </c:pt>
                <c:pt idx="106">
                  <c:v>6469583.27002424</c:v>
                </c:pt>
                <c:pt idx="107">
                  <c:v>8072513.5724458611</c:v>
                </c:pt>
                <c:pt idx="108">
                  <c:v>9398115.4702976383</c:v>
                </c:pt>
                <c:pt idx="109">
                  <c:v>8149397.9921830902</c:v>
                </c:pt>
                <c:pt idx="110">
                  <c:v>7907677.4828559095</c:v>
                </c:pt>
                <c:pt idx="111">
                  <c:v>6653296.6458873572</c:v>
                </c:pt>
                <c:pt idx="112">
                  <c:v>6074443.0538131995</c:v>
                </c:pt>
                <c:pt idx="113">
                  <c:v>6732838.5110459458</c:v>
                </c:pt>
                <c:pt idx="114">
                  <c:v>7448084.7475711899</c:v>
                </c:pt>
                <c:pt idx="115">
                  <c:v>7617770.3579460187</c:v>
                </c:pt>
                <c:pt idx="116">
                  <c:v>6883323.2836885089</c:v>
                </c:pt>
                <c:pt idx="117">
                  <c:v>6678701.6419568546</c:v>
                </c:pt>
                <c:pt idx="118">
                  <c:v>6910716.5032685315</c:v>
                </c:pt>
                <c:pt idx="119">
                  <c:v>7351219.5489857551</c:v>
                </c:pt>
                <c:pt idx="120">
                  <c:v>9196633.0879196841</c:v>
                </c:pt>
                <c:pt idx="121">
                  <c:v>8539455.8069254439</c:v>
                </c:pt>
                <c:pt idx="122">
                  <c:v>8150073.0640477007</c:v>
                </c:pt>
                <c:pt idx="123">
                  <c:v>7401904.4048288856</c:v>
                </c:pt>
                <c:pt idx="124">
                  <c:v>6642140.708649368</c:v>
                </c:pt>
                <c:pt idx="125">
                  <c:v>6956043.4369753851</c:v>
                </c:pt>
                <c:pt idx="126">
                  <c:v>8042594.1293302123</c:v>
                </c:pt>
                <c:pt idx="127">
                  <c:v>8337293.7760513425</c:v>
                </c:pt>
                <c:pt idx="128">
                  <c:v>7957633.6179059437</c:v>
                </c:pt>
                <c:pt idx="129">
                  <c:v>7500457.3450059686</c:v>
                </c:pt>
                <c:pt idx="130">
                  <c:v>7503361.3281877888</c:v>
                </c:pt>
                <c:pt idx="131">
                  <c:v>8451855.6991385017</c:v>
                </c:pt>
                <c:pt idx="132">
                  <c:v>8953737.6300725415</c:v>
                </c:pt>
                <c:pt idx="133">
                  <c:v>8812491.6400808245</c:v>
                </c:pt>
                <c:pt idx="134">
                  <c:v>8434060.2084855922</c:v>
                </c:pt>
                <c:pt idx="135">
                  <c:v>7840352.1692442102</c:v>
                </c:pt>
                <c:pt idx="136">
                  <c:v>7677483.177866295</c:v>
                </c:pt>
                <c:pt idx="137">
                  <c:v>7967781.9109306987</c:v>
                </c:pt>
                <c:pt idx="138">
                  <c:v>8452324.6480034366</c:v>
                </c:pt>
                <c:pt idx="139">
                  <c:v>8359407.0573305422</c:v>
                </c:pt>
                <c:pt idx="140">
                  <c:v>7458366.2212689435</c:v>
                </c:pt>
                <c:pt idx="141">
                  <c:v>7334450.9076530328</c:v>
                </c:pt>
                <c:pt idx="142">
                  <c:v>7902670.4967690334</c:v>
                </c:pt>
                <c:pt idx="143">
                  <c:v>8648750.8652810492</c:v>
                </c:pt>
                <c:pt idx="144">
                  <c:v>9149998.8408494797</c:v>
                </c:pt>
                <c:pt idx="145">
                  <c:v>9013547.9670774154</c:v>
                </c:pt>
                <c:pt idx="146">
                  <c:v>8632992.5343878567</c:v>
                </c:pt>
                <c:pt idx="147">
                  <c:v>8048478.2374651358</c:v>
                </c:pt>
                <c:pt idx="148">
                  <c:v>7891076.2456497438</c:v>
                </c:pt>
                <c:pt idx="149">
                  <c:v>8176805.8824650897</c:v>
                </c:pt>
                <c:pt idx="150">
                  <c:v>8661702.6087081283</c:v>
                </c:pt>
                <c:pt idx="151">
                  <c:v>8572411.3545331638</c:v>
                </c:pt>
                <c:pt idx="152">
                  <c:v>7664108.2655245103</c:v>
                </c:pt>
                <c:pt idx="153">
                  <c:v>7536247.6086925846</c:v>
                </c:pt>
                <c:pt idx="154">
                  <c:v>8113419.69292235</c:v>
                </c:pt>
                <c:pt idx="155">
                  <c:v>8845523.4729802199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95-491D-A708-DF3FC88B6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3485000"/>
        <c:axId val="923482704"/>
      </c:lineChart>
      <c:dateAx>
        <c:axId val="923485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2704"/>
        <c:crosses val="autoZero"/>
        <c:auto val="1"/>
        <c:lblOffset val="100"/>
        <c:baseTimeUnit val="months"/>
      </c:dateAx>
      <c:valAx>
        <c:axId val="92348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5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50-999 Weather Normal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'GS &gt; 50 kW (WN) Trend'!$F$2</c:f>
              <c:strCache>
                <c:ptCount val="1"/>
                <c:pt idx="0">
                  <c:v>GS50to999_NoCDM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'GS &gt; 50 kW (WN) Trend'!$A$3:$A$128</c:f>
              <c:numCache>
                <c:formatCode>mmm\-yy</c:formatCode>
                <c:ptCount val="12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</c:numCache>
            </c:numRef>
          </c:cat>
          <c:val>
            <c:numRef>
              <c:f>'GS &gt; 50 kW (WN) Trend'!$F$3:$F$128</c:f>
              <c:numCache>
                <c:formatCode>#,##0</c:formatCode>
                <c:ptCount val="126"/>
                <c:pt idx="0">
                  <c:v>16717266.821217919</c:v>
                </c:pt>
                <c:pt idx="1">
                  <c:v>15751669.901217917</c:v>
                </c:pt>
                <c:pt idx="2">
                  <c:v>16670464.701217921</c:v>
                </c:pt>
                <c:pt idx="3">
                  <c:v>14963148.60121792</c:v>
                </c:pt>
                <c:pt idx="4">
                  <c:v>15480338.171217926</c:v>
                </c:pt>
                <c:pt idx="5">
                  <c:v>16377529.561217919</c:v>
                </c:pt>
                <c:pt idx="6">
                  <c:v>17038934.041217919</c:v>
                </c:pt>
                <c:pt idx="7">
                  <c:v>16792927.091217916</c:v>
                </c:pt>
                <c:pt idx="8">
                  <c:v>15759561.551217917</c:v>
                </c:pt>
                <c:pt idx="9">
                  <c:v>15586290.931217926</c:v>
                </c:pt>
                <c:pt idx="10">
                  <c:v>15941400.461217923</c:v>
                </c:pt>
                <c:pt idx="11">
                  <c:v>16816631.181217916</c:v>
                </c:pt>
                <c:pt idx="12">
                  <c:v>16785266.463490896</c:v>
                </c:pt>
                <c:pt idx="13">
                  <c:v>16079301.203490896</c:v>
                </c:pt>
                <c:pt idx="14">
                  <c:v>16537471.803490892</c:v>
                </c:pt>
                <c:pt idx="15">
                  <c:v>14880264.923490893</c:v>
                </c:pt>
                <c:pt idx="16">
                  <c:v>17082202.913490895</c:v>
                </c:pt>
                <c:pt idx="17">
                  <c:v>16878400.213490888</c:v>
                </c:pt>
                <c:pt idx="18">
                  <c:v>17160081.253490891</c:v>
                </c:pt>
                <c:pt idx="19">
                  <c:v>16796041.313490894</c:v>
                </c:pt>
                <c:pt idx="20">
                  <c:v>15640179.133490894</c:v>
                </c:pt>
                <c:pt idx="21">
                  <c:v>15988881.633490898</c:v>
                </c:pt>
                <c:pt idx="22">
                  <c:v>16432215.043490896</c:v>
                </c:pt>
                <c:pt idx="23">
                  <c:v>16691357.483490892</c:v>
                </c:pt>
                <c:pt idx="24">
                  <c:v>17334132.91204248</c:v>
                </c:pt>
                <c:pt idx="25">
                  <c:v>16623683.162042486</c:v>
                </c:pt>
                <c:pt idx="26">
                  <c:v>17463321.022042483</c:v>
                </c:pt>
                <c:pt idx="27">
                  <c:v>16662389.712042477</c:v>
                </c:pt>
                <c:pt idx="28">
                  <c:v>16900534.112042483</c:v>
                </c:pt>
                <c:pt idx="29">
                  <c:v>17093096.532042481</c:v>
                </c:pt>
                <c:pt idx="30">
                  <c:v>18142506.432042487</c:v>
                </c:pt>
                <c:pt idx="31">
                  <c:v>17778187.962042481</c:v>
                </c:pt>
                <c:pt idx="32">
                  <c:v>16668477.222042486</c:v>
                </c:pt>
                <c:pt idx="33">
                  <c:v>17233627.082042478</c:v>
                </c:pt>
                <c:pt idx="34">
                  <c:v>16723236.692042481</c:v>
                </c:pt>
                <c:pt idx="35">
                  <c:v>18692544.082042485</c:v>
                </c:pt>
                <c:pt idx="36">
                  <c:v>18955499.508963756</c:v>
                </c:pt>
                <c:pt idx="37">
                  <c:v>17790077.53896375</c:v>
                </c:pt>
                <c:pt idx="38">
                  <c:v>18916153.298963755</c:v>
                </c:pt>
                <c:pt idx="39">
                  <c:v>17106261.98896376</c:v>
                </c:pt>
                <c:pt idx="40">
                  <c:v>16785651.398963757</c:v>
                </c:pt>
                <c:pt idx="41">
                  <c:v>17153006.328963753</c:v>
                </c:pt>
                <c:pt idx="42">
                  <c:v>17167656.628963754</c:v>
                </c:pt>
                <c:pt idx="43">
                  <c:v>17092221.068963751</c:v>
                </c:pt>
                <c:pt idx="44">
                  <c:v>16842020.668963756</c:v>
                </c:pt>
                <c:pt idx="45">
                  <c:v>16968667.128963754</c:v>
                </c:pt>
                <c:pt idx="46">
                  <c:v>17485013.278963756</c:v>
                </c:pt>
                <c:pt idx="47">
                  <c:v>18431183.118963756</c:v>
                </c:pt>
                <c:pt idx="48">
                  <c:v>19430730.418670163</c:v>
                </c:pt>
                <c:pt idx="49">
                  <c:v>18338750.900597889</c:v>
                </c:pt>
                <c:pt idx="50">
                  <c:v>18807365.387344867</c:v>
                </c:pt>
                <c:pt idx="51">
                  <c:v>17034456.596983433</c:v>
                </c:pt>
                <c:pt idx="52">
                  <c:v>17537336.143971372</c:v>
                </c:pt>
                <c:pt idx="53">
                  <c:v>17201197.724694267</c:v>
                </c:pt>
                <c:pt idx="54">
                  <c:v>18093211.662043665</c:v>
                </c:pt>
                <c:pt idx="55">
                  <c:v>17648873.695778605</c:v>
                </c:pt>
                <c:pt idx="56">
                  <c:v>17847440.221079815</c:v>
                </c:pt>
                <c:pt idx="57">
                  <c:v>16827940.095778607</c:v>
                </c:pt>
                <c:pt idx="58">
                  <c:v>16684572.645176196</c:v>
                </c:pt>
                <c:pt idx="59">
                  <c:v>16658204.809031619</c:v>
                </c:pt>
                <c:pt idx="60">
                  <c:v>18392987.23202993</c:v>
                </c:pt>
                <c:pt idx="61">
                  <c:v>17502931.916367285</c:v>
                </c:pt>
                <c:pt idx="62">
                  <c:v>17615636.032029931</c:v>
                </c:pt>
                <c:pt idx="63">
                  <c:v>16891925.130825114</c:v>
                </c:pt>
                <c:pt idx="64">
                  <c:v>16602755.501909452</c:v>
                </c:pt>
                <c:pt idx="65">
                  <c:v>17495167.299499799</c:v>
                </c:pt>
                <c:pt idx="66">
                  <c:v>18373376.195885357</c:v>
                </c:pt>
                <c:pt idx="67">
                  <c:v>19193976.494680539</c:v>
                </c:pt>
                <c:pt idx="68">
                  <c:v>17890059.858535945</c:v>
                </c:pt>
                <c:pt idx="69">
                  <c:v>16939090.046487764</c:v>
                </c:pt>
                <c:pt idx="70">
                  <c:v>17048086.017572101</c:v>
                </c:pt>
                <c:pt idx="71">
                  <c:v>18662560.716367282</c:v>
                </c:pt>
                <c:pt idx="72">
                  <c:v>19659234.081595186</c:v>
                </c:pt>
                <c:pt idx="73">
                  <c:v>17436974.630992774</c:v>
                </c:pt>
                <c:pt idx="74">
                  <c:v>19634422.014125314</c:v>
                </c:pt>
                <c:pt idx="75">
                  <c:v>17013785.724968679</c:v>
                </c:pt>
                <c:pt idx="76">
                  <c:v>18093877.252679512</c:v>
                </c:pt>
                <c:pt idx="77">
                  <c:v>19315178.650269885</c:v>
                </c:pt>
                <c:pt idx="78">
                  <c:v>19549131.777980741</c:v>
                </c:pt>
                <c:pt idx="79">
                  <c:v>19412331.565932523</c:v>
                </c:pt>
                <c:pt idx="80">
                  <c:v>19254316.134607218</c:v>
                </c:pt>
                <c:pt idx="81">
                  <c:v>18460397.773161445</c:v>
                </c:pt>
                <c:pt idx="82">
                  <c:v>18666476.115330122</c:v>
                </c:pt>
                <c:pt idx="83">
                  <c:v>19446811.238221694</c:v>
                </c:pt>
                <c:pt idx="84">
                  <c:v>21184390.447006177</c:v>
                </c:pt>
                <c:pt idx="85">
                  <c:v>18766666.803632692</c:v>
                </c:pt>
                <c:pt idx="86">
                  <c:v>17697661.348210998</c:v>
                </c:pt>
                <c:pt idx="87">
                  <c:v>19284257.097608585</c:v>
                </c:pt>
                <c:pt idx="88">
                  <c:v>19795859.748211004</c:v>
                </c:pt>
                <c:pt idx="89">
                  <c:v>21072458.919295345</c:v>
                </c:pt>
                <c:pt idx="90">
                  <c:v>20882452.104837507</c:v>
                </c:pt>
                <c:pt idx="91">
                  <c:v>21499366.514476053</c:v>
                </c:pt>
                <c:pt idx="92">
                  <c:v>19842338.148211002</c:v>
                </c:pt>
                <c:pt idx="93">
                  <c:v>19326961.830138713</c:v>
                </c:pt>
                <c:pt idx="94">
                  <c:v>19493164.066283286</c:v>
                </c:pt>
                <c:pt idx="95">
                  <c:v>20044221.165078472</c:v>
                </c:pt>
                <c:pt idx="96">
                  <c:v>21620563.218417685</c:v>
                </c:pt>
                <c:pt idx="97">
                  <c:v>19419033.849742986</c:v>
                </c:pt>
                <c:pt idx="98">
                  <c:v>20467345.232875522</c:v>
                </c:pt>
                <c:pt idx="99">
                  <c:v>18962848.172634561</c:v>
                </c:pt>
                <c:pt idx="100">
                  <c:v>19104958.755767088</c:v>
                </c:pt>
                <c:pt idx="101">
                  <c:v>18871763.652152628</c:v>
                </c:pt>
                <c:pt idx="102">
                  <c:v>21610925.483477946</c:v>
                </c:pt>
                <c:pt idx="103">
                  <c:v>20499002.408779137</c:v>
                </c:pt>
                <c:pt idx="104">
                  <c:v>19124595.555767093</c:v>
                </c:pt>
                <c:pt idx="105">
                  <c:v>19237444.143718898</c:v>
                </c:pt>
                <c:pt idx="106">
                  <c:v>19655626.620827332</c:v>
                </c:pt>
                <c:pt idx="107">
                  <c:v>20768680.182273109</c:v>
                </c:pt>
                <c:pt idx="108">
                  <c:v>22240497.13711904</c:v>
                </c:pt>
                <c:pt idx="109">
                  <c:v>20355118.476878062</c:v>
                </c:pt>
                <c:pt idx="110">
                  <c:v>19763421.609408177</c:v>
                </c:pt>
                <c:pt idx="111">
                  <c:v>17089130.553986501</c:v>
                </c:pt>
                <c:pt idx="112">
                  <c:v>17090225.378082871</c:v>
                </c:pt>
                <c:pt idx="113">
                  <c:v>18398254.573263608</c:v>
                </c:pt>
                <c:pt idx="114">
                  <c:v>20433793.725070819</c:v>
                </c:pt>
                <c:pt idx="115">
                  <c:v>19508210.264829874</c:v>
                </c:pt>
                <c:pt idx="116">
                  <c:v>18413970.168444328</c:v>
                </c:pt>
                <c:pt idx="117">
                  <c:v>18353398.004588902</c:v>
                </c:pt>
                <c:pt idx="118">
                  <c:v>18350168.269649133</c:v>
                </c:pt>
                <c:pt idx="119">
                  <c:v>19370101.339528672</c:v>
                </c:pt>
                <c:pt idx="120">
                  <c:v>20661840.874301441</c:v>
                </c:pt>
                <c:pt idx="121">
                  <c:v>19375614.165867694</c:v>
                </c:pt>
                <c:pt idx="122">
                  <c:v>19436199.679120708</c:v>
                </c:pt>
                <c:pt idx="123">
                  <c:v>17730405.462253235</c:v>
                </c:pt>
                <c:pt idx="124">
                  <c:v>17899844.845385753</c:v>
                </c:pt>
                <c:pt idx="125">
                  <c:v>19487327.052614685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4C-4DAC-BCCD-A540BC072C72}"/>
            </c:ext>
          </c:extLst>
        </c:ser>
        <c:ser>
          <c:idx val="1"/>
          <c:order val="1"/>
          <c:tx>
            <c:strRef>
              <c:f>'GS &gt; 50 kW (WN) Trend'!$O$2</c:f>
              <c:strCache>
                <c:ptCount val="1"/>
                <c:pt idx="0">
                  <c:v>Predicted Consumption + CDM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'GS &gt; 50 kW (WN) Trend'!$A$3:$A$128</c:f>
              <c:numCache>
                <c:formatCode>mmm\-yy</c:formatCode>
                <c:ptCount val="126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</c:numCache>
            </c:numRef>
          </c:cat>
          <c:val>
            <c:numRef>
              <c:f>'GS &gt; 50 kW (WN) Trend'!$O$3:$O$128</c:f>
              <c:numCache>
                <c:formatCode>#,##0_);\(#,##0\)</c:formatCode>
                <c:ptCount val="126"/>
                <c:pt idx="0">
                  <c:v>16260849.843245745</c:v>
                </c:pt>
                <c:pt idx="1">
                  <c:v>15612873.394249158</c:v>
                </c:pt>
                <c:pt idx="2">
                  <c:v>16513696.636268759</c:v>
                </c:pt>
                <c:pt idx="3">
                  <c:v>15037222.822149312</c:v>
                </c:pt>
                <c:pt idx="4">
                  <c:v>15664526.687477402</c:v>
                </c:pt>
                <c:pt idx="5">
                  <c:v>16489544.530570513</c:v>
                </c:pt>
                <c:pt idx="6">
                  <c:v>16688373.583877172</c:v>
                </c:pt>
                <c:pt idx="7">
                  <c:v>16768137.979657046</c:v>
                </c:pt>
                <c:pt idx="8">
                  <c:v>15786777.033338888</c:v>
                </c:pt>
                <c:pt idx="9">
                  <c:v>15570080.148900526</c:v>
                </c:pt>
                <c:pt idx="10">
                  <c:v>16343330.593193036</c:v>
                </c:pt>
                <c:pt idx="11">
                  <c:v>17032259.612269007</c:v>
                </c:pt>
                <c:pt idx="12">
                  <c:v>17182422.011521354</c:v>
                </c:pt>
                <c:pt idx="13">
                  <c:v>16618892.118223375</c:v>
                </c:pt>
                <c:pt idx="14">
                  <c:v>17157621.961134668</c:v>
                </c:pt>
                <c:pt idx="15">
                  <c:v>14952674.793959882</c:v>
                </c:pt>
                <c:pt idx="16">
                  <c:v>16889706.131193567</c:v>
                </c:pt>
                <c:pt idx="17">
                  <c:v>16690824.850610511</c:v>
                </c:pt>
                <c:pt idx="18">
                  <c:v>16828742.299766861</c:v>
                </c:pt>
                <c:pt idx="19">
                  <c:v>16851452.268744603</c:v>
                </c:pt>
                <c:pt idx="20">
                  <c:v>15900755.957245046</c:v>
                </c:pt>
                <c:pt idx="21">
                  <c:v>16060863.504278556</c:v>
                </c:pt>
                <c:pt idx="22">
                  <c:v>16427620.090290915</c:v>
                </c:pt>
                <c:pt idx="23">
                  <c:v>16906985.914541982</c:v>
                </c:pt>
                <c:pt idx="24">
                  <c:v>17661630.288036183</c:v>
                </c:pt>
                <c:pt idx="25">
                  <c:v>16602889.677852409</c:v>
                </c:pt>
                <c:pt idx="26">
                  <c:v>17400123.635948662</c:v>
                </c:pt>
                <c:pt idx="27">
                  <c:v>16593612.841875913</c:v>
                </c:pt>
                <c:pt idx="28">
                  <c:v>16784301.57371645</c:v>
                </c:pt>
                <c:pt idx="29">
                  <c:v>17246205.750506677</c:v>
                </c:pt>
                <c:pt idx="30">
                  <c:v>18222772.779904019</c:v>
                </c:pt>
                <c:pt idx="31">
                  <c:v>17970800.684491377</c:v>
                </c:pt>
                <c:pt idx="32">
                  <c:v>17010527.677195892</c:v>
                </c:pt>
                <c:pt idx="33">
                  <c:v>17237118.779790577</c:v>
                </c:pt>
                <c:pt idx="34">
                  <c:v>16483870.397213835</c:v>
                </c:pt>
                <c:pt idx="35">
                  <c:v>18108143.208880391</c:v>
                </c:pt>
                <c:pt idx="36">
                  <c:v>18236044.955987118</c:v>
                </c:pt>
                <c:pt idx="37">
                  <c:v>17220336.072155662</c:v>
                </c:pt>
                <c:pt idx="38">
                  <c:v>18147017.124616843</c:v>
                </c:pt>
                <c:pt idx="39">
                  <c:v>17102595.260996871</c:v>
                </c:pt>
                <c:pt idx="40">
                  <c:v>16934191.12323276</c:v>
                </c:pt>
                <c:pt idx="41">
                  <c:v>17127156.720651615</c:v>
                </c:pt>
                <c:pt idx="42">
                  <c:v>17687366.318131611</c:v>
                </c:pt>
                <c:pt idx="43">
                  <c:v>17393534.708417531</c:v>
                </c:pt>
                <c:pt idx="44">
                  <c:v>17023489.156467244</c:v>
                </c:pt>
                <c:pt idx="45">
                  <c:v>17046209.585961793</c:v>
                </c:pt>
                <c:pt idx="46">
                  <c:v>17242008.124401845</c:v>
                </c:pt>
                <c:pt idx="47">
                  <c:v>18525689.504607651</c:v>
                </c:pt>
                <c:pt idx="48">
                  <c:v>18885421.295785412</c:v>
                </c:pt>
                <c:pt idx="49">
                  <c:v>17146764.419401765</c:v>
                </c:pt>
                <c:pt idx="50">
                  <c:v>18428626.878666639</c:v>
                </c:pt>
                <c:pt idx="51">
                  <c:v>17167168.298042975</c:v>
                </c:pt>
                <c:pt idx="52">
                  <c:v>17383438.537970703</c:v>
                </c:pt>
                <c:pt idx="53">
                  <c:v>17541882.306038842</c:v>
                </c:pt>
                <c:pt idx="54">
                  <c:v>18325924.417899851</c:v>
                </c:pt>
                <c:pt idx="55">
                  <c:v>17875952.562643684</c:v>
                </c:pt>
                <c:pt idx="56">
                  <c:v>17488900.009927358</c:v>
                </c:pt>
                <c:pt idx="57">
                  <c:v>16953934.421984717</c:v>
                </c:pt>
                <c:pt idx="58">
                  <c:v>17028280.294979766</c:v>
                </c:pt>
                <c:pt idx="59">
                  <c:v>17414463.829024695</c:v>
                </c:pt>
                <c:pt idx="60">
                  <c:v>18481879.376942504</c:v>
                </c:pt>
                <c:pt idx="61">
                  <c:v>17747775.192705434</c:v>
                </c:pt>
                <c:pt idx="62">
                  <c:v>17931295.782591432</c:v>
                </c:pt>
                <c:pt idx="63">
                  <c:v>16658840.874900972</c:v>
                </c:pt>
                <c:pt idx="64">
                  <c:v>16559509.836544981</c:v>
                </c:pt>
                <c:pt idx="65">
                  <c:v>17425572.200197894</c:v>
                </c:pt>
                <c:pt idx="66">
                  <c:v>18164657.179026589</c:v>
                </c:pt>
                <c:pt idx="67">
                  <c:v>18684010.119414948</c:v>
                </c:pt>
                <c:pt idx="68">
                  <c:v>17579904.811660051</c:v>
                </c:pt>
                <c:pt idx="69">
                  <c:v>16761490.78624678</c:v>
                </c:pt>
                <c:pt idx="70">
                  <c:v>17489432.85249798</c:v>
                </c:pt>
                <c:pt idx="71">
                  <c:v>18493509.689901963</c:v>
                </c:pt>
                <c:pt idx="72">
                  <c:v>20067826.045930184</c:v>
                </c:pt>
                <c:pt idx="73">
                  <c:v>18041025.346714489</c:v>
                </c:pt>
                <c:pt idx="74">
                  <c:v>19465697.695766855</c:v>
                </c:pt>
                <c:pt idx="75">
                  <c:v>17250163.525232591</c:v>
                </c:pt>
                <c:pt idx="76">
                  <c:v>18350691.153177019</c:v>
                </c:pt>
                <c:pt idx="77">
                  <c:v>19372180.350650493</c:v>
                </c:pt>
                <c:pt idx="78">
                  <c:v>19740750.284725323</c:v>
                </c:pt>
                <c:pt idx="79">
                  <c:v>19775949.389523249</c:v>
                </c:pt>
                <c:pt idx="80">
                  <c:v>19074071.939761549</c:v>
                </c:pt>
                <c:pt idx="81">
                  <c:v>18293582.40869657</c:v>
                </c:pt>
                <c:pt idx="82">
                  <c:v>18698984.626286723</c:v>
                </c:pt>
                <c:pt idx="83">
                  <c:v>18703340.211005516</c:v>
                </c:pt>
                <c:pt idx="84">
                  <c:v>20951503.424077325</c:v>
                </c:pt>
                <c:pt idx="85">
                  <c:v>19143548.704577822</c:v>
                </c:pt>
                <c:pt idx="86">
                  <c:v>17638622.65895519</c:v>
                </c:pt>
                <c:pt idx="87">
                  <c:v>18915743.169857133</c:v>
                </c:pt>
                <c:pt idx="88">
                  <c:v>19528530.634908278</c:v>
                </c:pt>
                <c:pt idx="89">
                  <c:v>21101622.57995519</c:v>
                </c:pt>
                <c:pt idx="90">
                  <c:v>20734048.84070706</c:v>
                </c:pt>
                <c:pt idx="91">
                  <c:v>21216081.319793817</c:v>
                </c:pt>
                <c:pt idx="92">
                  <c:v>19617685.651906025</c:v>
                </c:pt>
                <c:pt idx="93">
                  <c:v>19214141.246967401</c:v>
                </c:pt>
                <c:pt idx="94">
                  <c:v>19183567.705958724</c:v>
                </c:pt>
                <c:pt idx="95">
                  <c:v>20105977.813122999</c:v>
                </c:pt>
                <c:pt idx="96">
                  <c:v>21220288.647758719</c:v>
                </c:pt>
                <c:pt idx="97">
                  <c:v>19449184.401818596</c:v>
                </c:pt>
                <c:pt idx="98">
                  <c:v>20200891.538823705</c:v>
                </c:pt>
                <c:pt idx="99">
                  <c:v>19039717.335248243</c:v>
                </c:pt>
                <c:pt idx="100">
                  <c:v>19529827.373100244</c:v>
                </c:pt>
                <c:pt idx="101">
                  <c:v>19162737.448281553</c:v>
                </c:pt>
                <c:pt idx="102">
                  <c:v>21468487.513573378</c:v>
                </c:pt>
                <c:pt idx="103">
                  <c:v>20605449.770187579</c:v>
                </c:pt>
                <c:pt idx="104">
                  <c:v>19187602.803243328</c:v>
                </c:pt>
                <c:pt idx="105">
                  <c:v>19472409.232203707</c:v>
                </c:pt>
                <c:pt idx="106">
                  <c:v>19261348.868782617</c:v>
                </c:pt>
                <c:pt idx="107">
                  <c:v>20732707.454624277</c:v>
                </c:pt>
                <c:pt idx="108">
                  <c:v>22669362.748539362</c:v>
                </c:pt>
                <c:pt idx="109">
                  <c:v>20478319.870704263</c:v>
                </c:pt>
                <c:pt idx="110">
                  <c:v>20175680.144443154</c:v>
                </c:pt>
                <c:pt idx="111">
                  <c:v>17107895.269275222</c:v>
                </c:pt>
                <c:pt idx="112">
                  <c:v>17028323.444816392</c:v>
                </c:pt>
                <c:pt idx="113">
                  <c:v>18240505.68151262</c:v>
                </c:pt>
                <c:pt idx="114">
                  <c:v>19967904.246029768</c:v>
                </c:pt>
                <c:pt idx="115">
                  <c:v>19458897.16589595</c:v>
                </c:pt>
                <c:pt idx="116">
                  <c:v>18591370.87612018</c:v>
                </c:pt>
                <c:pt idx="117">
                  <c:v>18458820.994160336</c:v>
                </c:pt>
                <c:pt idx="118">
                  <c:v>18608283.178310737</c:v>
                </c:pt>
                <c:pt idx="119">
                  <c:v>19412624.014697377</c:v>
                </c:pt>
                <c:pt idx="120">
                  <c:v>20908763.499058597</c:v>
                </c:pt>
                <c:pt idx="121">
                  <c:v>19239416.844422694</c:v>
                </c:pt>
                <c:pt idx="122">
                  <c:v>19793420.006665494</c:v>
                </c:pt>
                <c:pt idx="123">
                  <c:v>17867313.994367436</c:v>
                </c:pt>
                <c:pt idx="124">
                  <c:v>17904726.241843797</c:v>
                </c:pt>
                <c:pt idx="125">
                  <c:v>19057163.057881948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4C-4DAC-BCCD-A540BC072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3485000"/>
        <c:axId val="923482704"/>
      </c:lineChart>
      <c:dateAx>
        <c:axId val="923485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2704"/>
        <c:crosses val="autoZero"/>
        <c:auto val="1"/>
        <c:lblOffset val="100"/>
        <c:baseTimeUnit val="months"/>
      </c:dateAx>
      <c:valAx>
        <c:axId val="92348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485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Residential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'Rate Class Customer Model'!$B$4:$B$25</c:f>
              <c:numCache>
                <c:formatCode>_(* #,##0_);_(* \(#,##0\);_(* "-"??_);_(@_)</c:formatCode>
                <c:ptCount val="22"/>
                <c:pt idx="0">
                  <c:v>9354</c:v>
                </c:pt>
                <c:pt idx="1">
                  <c:v>9551</c:v>
                </c:pt>
                <c:pt idx="2">
                  <c:v>11003.5</c:v>
                </c:pt>
                <c:pt idx="3">
                  <c:v>13067.5</c:v>
                </c:pt>
                <c:pt idx="4">
                  <c:v>14790.5</c:v>
                </c:pt>
                <c:pt idx="5">
                  <c:v>16685.5</c:v>
                </c:pt>
                <c:pt idx="6">
                  <c:v>18165.5</c:v>
                </c:pt>
                <c:pt idx="7">
                  <c:v>19512.5</c:v>
                </c:pt>
                <c:pt idx="8">
                  <c:v>21530</c:v>
                </c:pt>
                <c:pt idx="9">
                  <c:v>23793.5</c:v>
                </c:pt>
                <c:pt idx="10">
                  <c:v>25709.5</c:v>
                </c:pt>
                <c:pt idx="11">
                  <c:v>27124.416666666668</c:v>
                </c:pt>
                <c:pt idx="12">
                  <c:v>28837.75</c:v>
                </c:pt>
                <c:pt idx="13">
                  <c:v>30730.666666666668</c:v>
                </c:pt>
                <c:pt idx="14">
                  <c:v>31706.916666666668</c:v>
                </c:pt>
                <c:pt idx="15">
                  <c:v>32717.583333333332</c:v>
                </c:pt>
                <c:pt idx="16">
                  <c:v>33532.916666666664</c:v>
                </c:pt>
                <c:pt idx="17">
                  <c:v>34343.25</c:v>
                </c:pt>
                <c:pt idx="18">
                  <c:v>35796.166666666664</c:v>
                </c:pt>
                <c:pt idx="19">
                  <c:v>37001.166666666664</c:v>
                </c:pt>
                <c:pt idx="20">
                  <c:v>37705.916666666664</c:v>
                </c:pt>
                <c:pt idx="21">
                  <c:v>38491.25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9018-47F0-A6C7-9740DC69AC15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('Rate Class Customer Model'!$D$4:$D$25,'Rate Class Customer Model'!$B$40:$B$41)</c:f>
              <c:numCache>
                <c:formatCode>_(* #,##0_);_(* \(#,##0\);_(* "-"??_);_(@_)</c:formatCode>
                <c:ptCount val="24"/>
                <c:pt idx="22" formatCode="#,##0">
                  <c:v>39229.25</c:v>
                </c:pt>
                <c:pt idx="23" formatCode="#,##0">
                  <c:v>40087.583333333314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0A-492D-8BB9-38230449E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catAx>
        <c:axId val="525987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Algn val="ctr"/>
        <c:lblOffset val="100"/>
        <c:noMultiLvlLbl val="0"/>
      </c:cat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&lt; 50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'Rate Class Customer Model'!$E$4:$E$25</c:f>
              <c:numCache>
                <c:formatCode>_(* #,##0_);_(* \(#,##0\);_(* "-"??_);_(@_)</c:formatCode>
                <c:ptCount val="22"/>
                <c:pt idx="0">
                  <c:v>1715</c:v>
                </c:pt>
                <c:pt idx="1">
                  <c:v>1705</c:v>
                </c:pt>
                <c:pt idx="2">
                  <c:v>1706.5</c:v>
                </c:pt>
                <c:pt idx="3">
                  <c:v>1736.5</c:v>
                </c:pt>
                <c:pt idx="4">
                  <c:v>1781.5</c:v>
                </c:pt>
                <c:pt idx="5">
                  <c:v>1896.5</c:v>
                </c:pt>
                <c:pt idx="6">
                  <c:v>1994</c:v>
                </c:pt>
                <c:pt idx="7">
                  <c:v>2023.2162883845126</c:v>
                </c:pt>
                <c:pt idx="8">
                  <c:v>2091.9998004488557</c:v>
                </c:pt>
                <c:pt idx="9">
                  <c:v>2169.2835120643431</c:v>
                </c:pt>
                <c:pt idx="10">
                  <c:v>2243</c:v>
                </c:pt>
                <c:pt idx="11">
                  <c:v>2331.25</c:v>
                </c:pt>
                <c:pt idx="12">
                  <c:v>2401.6666666666665</c:v>
                </c:pt>
                <c:pt idx="13">
                  <c:v>2458.1666666666665</c:v>
                </c:pt>
                <c:pt idx="14">
                  <c:v>2510.0833333333335</c:v>
                </c:pt>
                <c:pt idx="15">
                  <c:v>2551.8333333333335</c:v>
                </c:pt>
                <c:pt idx="16">
                  <c:v>2602.9166666666665</c:v>
                </c:pt>
                <c:pt idx="17">
                  <c:v>2646.3333333333335</c:v>
                </c:pt>
                <c:pt idx="18">
                  <c:v>2685.9166666666665</c:v>
                </c:pt>
                <c:pt idx="19">
                  <c:v>2691.6666666666665</c:v>
                </c:pt>
                <c:pt idx="20">
                  <c:v>2724.9166666666665</c:v>
                </c:pt>
                <c:pt idx="21">
                  <c:v>2875.75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68-4CA2-AF38-EEF1A797B7B4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('Rate Class Customer Model'!$D$4:$D$25,'Rate Class Customer Model'!$E$40:$E$41)</c:f>
              <c:numCache>
                <c:formatCode>_(* #,##0_);_(* \(#,##0\);_(* "-"??_);_(@_)</c:formatCode>
                <c:ptCount val="24"/>
                <c:pt idx="22" formatCode="#,##0">
                  <c:v>2946.5803320079062</c:v>
                </c:pt>
                <c:pt idx="23" formatCode="#,##0">
                  <c:v>3000.0074903961308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68-4CA2-AF38-EEF1A797B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catAx>
        <c:axId val="525987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Algn val="ctr"/>
        <c:lblOffset val="100"/>
        <c:noMultiLvlLbl val="0"/>
      </c:cat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50-999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'Rate Class Customer Model'!$H$4:$H$25</c:f>
              <c:numCache>
                <c:formatCode>_(* #,##0_);_(* \(#,##0\);_(* "-"??_);_(@_)</c:formatCode>
                <c:ptCount val="22"/>
                <c:pt idx="0">
                  <c:v>183</c:v>
                </c:pt>
                <c:pt idx="1">
                  <c:v>188.5</c:v>
                </c:pt>
                <c:pt idx="2">
                  <c:v>205</c:v>
                </c:pt>
                <c:pt idx="3">
                  <c:v>215</c:v>
                </c:pt>
                <c:pt idx="4">
                  <c:v>220.5</c:v>
                </c:pt>
                <c:pt idx="5">
                  <c:v>236.5</c:v>
                </c:pt>
                <c:pt idx="6">
                  <c:v>244.5</c:v>
                </c:pt>
                <c:pt idx="7">
                  <c:v>259</c:v>
                </c:pt>
                <c:pt idx="8">
                  <c:v>273.5</c:v>
                </c:pt>
                <c:pt idx="9">
                  <c:v>274.5</c:v>
                </c:pt>
                <c:pt idx="10">
                  <c:v>266</c:v>
                </c:pt>
                <c:pt idx="11">
                  <c:v>263.58333333333331</c:v>
                </c:pt>
                <c:pt idx="12">
                  <c:v>271.33333333333331</c:v>
                </c:pt>
                <c:pt idx="13">
                  <c:v>272.16666666666669</c:v>
                </c:pt>
                <c:pt idx="14">
                  <c:v>279.5</c:v>
                </c:pt>
                <c:pt idx="15">
                  <c:v>290.58333333333331</c:v>
                </c:pt>
                <c:pt idx="16">
                  <c:v>297.66666666666669</c:v>
                </c:pt>
                <c:pt idx="17">
                  <c:v>319.25</c:v>
                </c:pt>
                <c:pt idx="18">
                  <c:v>329.66666666666669</c:v>
                </c:pt>
                <c:pt idx="19">
                  <c:v>342.33333333333331</c:v>
                </c:pt>
                <c:pt idx="20">
                  <c:v>352.75</c:v>
                </c:pt>
                <c:pt idx="21">
                  <c:v>344.58333333333331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2B-4AF1-AA85-6BC842FC97A5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('Rate Class Customer Model'!$D$4:$D$25,'Rate Class Customer Model'!$H$40:$H$41)</c:f>
              <c:numCache>
                <c:formatCode>_(* #,##0_);_(* \(#,##0\);_(* "-"??_);_(@_)</c:formatCode>
                <c:ptCount val="24"/>
                <c:pt idx="22" formatCode="#,##0">
                  <c:v>332.85413131613916</c:v>
                </c:pt>
                <c:pt idx="23" formatCode="#,##0">
                  <c:v>343.91043784840258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2B-4AF1-AA85-6BC842FC9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catAx>
        <c:axId val="525987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Algn val="ctr"/>
        <c:lblOffset val="100"/>
        <c:noMultiLvlLbl val="0"/>
      </c:cat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GS 1,000-4,999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'Rate Class Customer Model'!$K$4:$K$25</c:f>
              <c:numCache>
                <c:formatCode>_(* #,##0_);_(* \(#,##0\);_(* "-"??_);_(@_)</c:formatCode>
                <c:ptCount val="22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10.5</c:v>
                </c:pt>
                <c:pt idx="6">
                  <c:v>12</c:v>
                </c:pt>
                <c:pt idx="7">
                  <c:v>13.5</c:v>
                </c:pt>
                <c:pt idx="8">
                  <c:v>14</c:v>
                </c:pt>
                <c:pt idx="9">
                  <c:v>13.167</c:v>
                </c:pt>
                <c:pt idx="10">
                  <c:v>12.667</c:v>
                </c:pt>
                <c:pt idx="11">
                  <c:v>12.5</c:v>
                </c:pt>
                <c:pt idx="12">
                  <c:v>12</c:v>
                </c:pt>
                <c:pt idx="13">
                  <c:v>11.5</c:v>
                </c:pt>
                <c:pt idx="14">
                  <c:v>11.5</c:v>
                </c:pt>
                <c:pt idx="15">
                  <c:v>12.583333333333334</c:v>
                </c:pt>
                <c:pt idx="16">
                  <c:v>13.5</c:v>
                </c:pt>
                <c:pt idx="17">
                  <c:v>15</c:v>
                </c:pt>
                <c:pt idx="18">
                  <c:v>14.166666666666666</c:v>
                </c:pt>
                <c:pt idx="19">
                  <c:v>14</c:v>
                </c:pt>
                <c:pt idx="20">
                  <c:v>14.583333333333334</c:v>
                </c:pt>
                <c:pt idx="21">
                  <c:v>13.916666666666666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E7-4F87-95F2-4B5673B8B613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('Rate Class Customer Model'!$D$4:$D$25,'Rate Class Customer Model'!$K$40:$K$41)</c:f>
              <c:numCache>
                <c:formatCode>_(* #,##0_);_(* \(#,##0\);_(* "-"??_);_(@_)</c:formatCode>
                <c:ptCount val="24"/>
                <c:pt idx="22" formatCode="#,##0">
                  <c:v>12</c:v>
                </c:pt>
                <c:pt idx="23" formatCode="#,##0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E7-4F87-95F2-4B5673B8B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catAx>
        <c:axId val="525987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Algn val="ctr"/>
        <c:lblOffset val="100"/>
        <c:noMultiLvlLbl val="0"/>
      </c:cat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Large User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'Rate Class Customer Model'!$N$4:$N$25</c:f>
              <c:numCache>
                <c:formatCode>_(* #,##0_);_(* \(#,##0\);_(* "-"??_);_(@_)</c:formatCode>
                <c:ptCount val="22"/>
                <c:pt idx="0">
                  <c:v>1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2.5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5D-42D2-87CD-ACD6CAD1BEA0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('Rate Class Customer Model'!$D$4:$D$25,'Rate Class Customer Model'!$N$40:$N$41)</c:f>
              <c:numCache>
                <c:formatCode>_(* #,##0_);_(* \(#,##0\);_(* "-"??_);_(@_)</c:formatCode>
                <c:ptCount val="24"/>
                <c:pt idx="22" formatCode="#,##0">
                  <c:v>3</c:v>
                </c:pt>
                <c:pt idx="23" formatCode="#,##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5D-42D2-87CD-ACD6CAD1B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catAx>
        <c:axId val="525987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Algn val="ctr"/>
        <c:lblOffset val="100"/>
        <c:noMultiLvlLbl val="0"/>
      </c:cat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Streetlights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'Rate Class Customer Model'!$Q$4:$Q$25</c:f>
              <c:numCache>
                <c:formatCode>_(* #,##0_);_(* \(#,##0\);_(* "-"??_);_(@_)</c:formatCode>
                <c:ptCount val="22"/>
                <c:pt idx="0">
                  <c:v>2242</c:v>
                </c:pt>
                <c:pt idx="1">
                  <c:v>2263.5</c:v>
                </c:pt>
                <c:pt idx="2">
                  <c:v>2315.5</c:v>
                </c:pt>
                <c:pt idx="3">
                  <c:v>2378</c:v>
                </c:pt>
                <c:pt idx="4">
                  <c:v>2437</c:v>
                </c:pt>
                <c:pt idx="5">
                  <c:v>2497.5</c:v>
                </c:pt>
                <c:pt idx="6">
                  <c:v>2554</c:v>
                </c:pt>
                <c:pt idx="7">
                  <c:v>2606.5</c:v>
                </c:pt>
                <c:pt idx="8">
                  <c:v>2671.5</c:v>
                </c:pt>
                <c:pt idx="9">
                  <c:v>2741.5</c:v>
                </c:pt>
                <c:pt idx="10">
                  <c:v>2784.5</c:v>
                </c:pt>
                <c:pt idx="11">
                  <c:v>2847.5</c:v>
                </c:pt>
                <c:pt idx="12">
                  <c:v>2945.5</c:v>
                </c:pt>
                <c:pt idx="13">
                  <c:v>3018.5</c:v>
                </c:pt>
                <c:pt idx="14">
                  <c:v>3071.5</c:v>
                </c:pt>
                <c:pt idx="15">
                  <c:v>3127.6666666666665</c:v>
                </c:pt>
                <c:pt idx="16">
                  <c:v>3165</c:v>
                </c:pt>
                <c:pt idx="17">
                  <c:v>3230.8333333333335</c:v>
                </c:pt>
                <c:pt idx="18">
                  <c:v>3261.8852459016393</c:v>
                </c:pt>
                <c:pt idx="19">
                  <c:v>3279.25</c:v>
                </c:pt>
                <c:pt idx="20">
                  <c:v>3217.6372549019611</c:v>
                </c:pt>
                <c:pt idx="21">
                  <c:v>2891.9519230769233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18-49E6-84FA-37030FA4EB89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('Rate Class Customer Model'!$D$4:$D$25,'Rate Class Customer Model'!$Q$40:$Q$41)</c:f>
              <c:numCache>
                <c:formatCode>_(* #,##0_);_(* \(#,##0\);_(* "-"??_);_(@_)</c:formatCode>
                <c:ptCount val="24"/>
                <c:pt idx="22" formatCode="#,##0">
                  <c:v>2904.6832348918383</c:v>
                </c:pt>
                <c:pt idx="23" formatCode="#,##0">
                  <c:v>2919.41159236661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18-49E6-84FA-37030FA4E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catAx>
        <c:axId val="525987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Algn val="ctr"/>
        <c:lblOffset val="100"/>
        <c:noMultiLvlLbl val="0"/>
      </c:cat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Sentinel Lights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'Rate Class Customer Model'!$B$2</c:f>
              <c:strCache>
                <c:ptCount val="1"/>
                <c:pt idx="0">
                  <c:v>Residential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'Rate Class Customer Model'!$T$4:$T$25</c:f>
              <c:numCache>
                <c:formatCode>_(* #,##0_);_(* \(#,##0\);_(* "-"??_);_(@_)</c:formatCode>
                <c:ptCount val="22"/>
                <c:pt idx="0">
                  <c:v>328</c:v>
                </c:pt>
                <c:pt idx="1">
                  <c:v>328.5</c:v>
                </c:pt>
                <c:pt idx="2">
                  <c:v>315</c:v>
                </c:pt>
                <c:pt idx="3">
                  <c:v>306</c:v>
                </c:pt>
                <c:pt idx="4">
                  <c:v>310</c:v>
                </c:pt>
                <c:pt idx="5">
                  <c:v>303.5</c:v>
                </c:pt>
                <c:pt idx="6">
                  <c:v>296.5</c:v>
                </c:pt>
                <c:pt idx="7">
                  <c:v>292.5</c:v>
                </c:pt>
                <c:pt idx="8">
                  <c:v>289</c:v>
                </c:pt>
                <c:pt idx="9">
                  <c:v>283.5</c:v>
                </c:pt>
                <c:pt idx="10">
                  <c:v>272.5</c:v>
                </c:pt>
                <c:pt idx="11">
                  <c:v>265.5</c:v>
                </c:pt>
                <c:pt idx="12">
                  <c:v>265</c:v>
                </c:pt>
                <c:pt idx="13">
                  <c:v>260.5</c:v>
                </c:pt>
                <c:pt idx="14">
                  <c:v>253.5</c:v>
                </c:pt>
                <c:pt idx="15">
                  <c:v>249.47058823529406</c:v>
                </c:pt>
                <c:pt idx="16">
                  <c:v>246.64705882352919</c:v>
                </c:pt>
                <c:pt idx="17">
                  <c:v>243.82352941176433</c:v>
                </c:pt>
                <c:pt idx="18">
                  <c:v>240.99999999999946</c:v>
                </c:pt>
                <c:pt idx="19">
                  <c:v>238.17647058823459</c:v>
                </c:pt>
                <c:pt idx="20">
                  <c:v>235.88235294117598</c:v>
                </c:pt>
                <c:pt idx="21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8B-4096-950E-5EA7E144E803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'Rate Class Customer Model'!$A$4:$A$27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('Rate Class Customer Model'!$D$4:$D$25,'Rate Class Customer Model'!$T$40:$T$41)</c:f>
              <c:numCache>
                <c:formatCode>_(* #,##0_);_(* \(#,##0\);_(* "-"??_);_(@_)</c:formatCode>
                <c:ptCount val="24"/>
                <c:pt idx="22" formatCode="#,##0">
                  <c:v>234.07753306777536</c:v>
                </c:pt>
                <c:pt idx="23" formatCode="#,##0">
                  <c:v>231.19110332107795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8B-4096-950E-5EA7E144E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5987719"/>
        <c:axId val="525985751"/>
      </c:lineChart>
      <c:catAx>
        <c:axId val="525987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5751"/>
        <c:crosses val="autoZero"/>
        <c:auto val="1"/>
        <c:lblAlgn val="ctr"/>
        <c:lblOffset val="100"/>
        <c:noMultiLvlLbl val="0"/>
      </c:catAx>
      <c:valAx>
        <c:axId val="525985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987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11" Type="http://schemas.openxmlformats.org/officeDocument/2006/relationships/chart" Target="../charts/chart13.xml"/><Relationship Id="rId5" Type="http://schemas.openxmlformats.org/officeDocument/2006/relationships/chart" Target="../charts/chart7.xml"/><Relationship Id="rId10" Type="http://schemas.openxmlformats.org/officeDocument/2006/relationships/chart" Target="../charts/chart12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163185</xdr:colOff>
      <xdr:row>33</xdr:row>
      <xdr:rowOff>20377</xdr:rowOff>
    </xdr:from>
    <xdr:to>
      <xdr:col>32</xdr:col>
      <xdr:colOff>359987</xdr:colOff>
      <xdr:row>64</xdr:row>
      <xdr:rowOff>4899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2046BE-7F6F-4204-8047-1CD1156104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607218</xdr:colOff>
      <xdr:row>37</xdr:row>
      <xdr:rowOff>130969</xdr:rowOff>
    </xdr:from>
    <xdr:to>
      <xdr:col>33</xdr:col>
      <xdr:colOff>511967</xdr:colOff>
      <xdr:row>68</xdr:row>
      <xdr:rowOff>115491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C4F983-CF5C-414E-971D-31A2A1BDD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84</xdr:row>
      <xdr:rowOff>138112</xdr:rowOff>
    </xdr:from>
    <xdr:to>
      <xdr:col>7</xdr:col>
      <xdr:colOff>246063</xdr:colOff>
      <xdr:row>101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44B5F9-44F9-4FBB-A381-B88091FC0A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571500</xdr:colOff>
      <xdr:row>102</xdr:row>
      <xdr:rowOff>127000</xdr:rowOff>
    </xdr:from>
    <xdr:to>
      <xdr:col>7</xdr:col>
      <xdr:colOff>579438</xdr:colOff>
      <xdr:row>119</xdr:row>
      <xdr:rowOff>117475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5BFA881-7FE1-418F-AADD-8A585EACC7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428626</xdr:colOff>
      <xdr:row>84</xdr:row>
      <xdr:rowOff>142875</xdr:rowOff>
    </xdr:from>
    <xdr:to>
      <xdr:col>14</xdr:col>
      <xdr:colOff>523876</xdr:colOff>
      <xdr:row>101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BB92B9B-155F-47D2-A13A-68091F8FDF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396875</xdr:colOff>
      <xdr:row>102</xdr:row>
      <xdr:rowOff>150812</xdr:rowOff>
    </xdr:from>
    <xdr:to>
      <xdr:col>16</xdr:col>
      <xdr:colOff>523875</xdr:colOff>
      <xdr:row>119</xdr:row>
      <xdr:rowOff>141287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8E6EF08-71AA-4307-AA28-E0CDDD230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87312</xdr:colOff>
      <xdr:row>84</xdr:row>
      <xdr:rowOff>127001</xdr:rowOff>
    </xdr:from>
    <xdr:to>
      <xdr:col>22</xdr:col>
      <xdr:colOff>682625</xdr:colOff>
      <xdr:row>101</xdr:row>
      <xdr:rowOff>117476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52FC25A-23F0-4C58-8E0C-D77AAD8B0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0</xdr:colOff>
      <xdr:row>103</xdr:row>
      <xdr:rowOff>0</xdr:rowOff>
    </xdr:from>
    <xdr:to>
      <xdr:col>23</xdr:col>
      <xdr:colOff>817562</xdr:colOff>
      <xdr:row>119</xdr:row>
      <xdr:rowOff>149225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3D0283B-32FF-4A8E-913E-FDEF03F2E1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23</xdr:col>
      <xdr:colOff>0</xdr:colOff>
      <xdr:row>85</xdr:row>
      <xdr:rowOff>0</xdr:rowOff>
    </xdr:from>
    <xdr:to>
      <xdr:col>29</xdr:col>
      <xdr:colOff>515938</xdr:colOff>
      <xdr:row>101</xdr:row>
      <xdr:rowOff>149225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ED0B3F4-0E97-4FF0-A342-9ACF3F6B8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0</xdr:colOff>
      <xdr:row>103</xdr:row>
      <xdr:rowOff>0</xdr:rowOff>
    </xdr:from>
    <xdr:to>
      <xdr:col>31</xdr:col>
      <xdr:colOff>420688</xdr:colOff>
      <xdr:row>119</xdr:row>
      <xdr:rowOff>149225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5FF7403E-6456-4006-9B8C-9CF8E89E16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801687</xdr:colOff>
      <xdr:row>124</xdr:row>
      <xdr:rowOff>127000</xdr:rowOff>
    </xdr:from>
    <xdr:to>
      <xdr:col>23</xdr:col>
      <xdr:colOff>650875</xdr:colOff>
      <xdr:row>141</xdr:row>
      <xdr:rowOff>117475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EF3CEF35-7E49-4DF5-8C2E-65E0E17FC9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134937</xdr:colOff>
      <xdr:row>125</xdr:row>
      <xdr:rowOff>39688</xdr:rowOff>
    </xdr:from>
    <xdr:to>
      <xdr:col>8</xdr:col>
      <xdr:colOff>452438</xdr:colOff>
      <xdr:row>142</xdr:row>
      <xdr:rowOff>30163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523D5D69-2F8A-454F-BCFE-0453952390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125</xdr:row>
      <xdr:rowOff>0</xdr:rowOff>
    </xdr:from>
    <xdr:to>
      <xdr:col>16</xdr:col>
      <xdr:colOff>801688</xdr:colOff>
      <xdr:row>141</xdr:row>
      <xdr:rowOff>149225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9482F668-7E26-4ED9-B67F-36179404F4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52386</xdr:colOff>
      <xdr:row>5</xdr:row>
      <xdr:rowOff>47625</xdr:rowOff>
    </xdr:from>
    <xdr:to>
      <xdr:col>28</xdr:col>
      <xdr:colOff>590549</xdr:colOff>
      <xdr:row>22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F69BFB4-6CA4-489F-AF48-750EDBF777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66676</xdr:colOff>
      <xdr:row>1</xdr:row>
      <xdr:rowOff>9525</xdr:rowOff>
    </xdr:from>
    <xdr:to>
      <xdr:col>17</xdr:col>
      <xdr:colOff>323851</xdr:colOff>
      <xdr:row>20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AB0A9DE-24C8-4279-A3EE-777EDD0B9F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47625</xdr:colOff>
      <xdr:row>20</xdr:row>
      <xdr:rowOff>104775</xdr:rowOff>
    </xdr:from>
    <xdr:to>
      <xdr:col>17</xdr:col>
      <xdr:colOff>304800</xdr:colOff>
      <xdr:row>39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7701854-B82F-4AC1-9BE3-DD78B7D5C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41</xdr:row>
      <xdr:rowOff>0</xdr:rowOff>
    </xdr:from>
    <xdr:to>
      <xdr:col>17</xdr:col>
      <xdr:colOff>257175</xdr:colOff>
      <xdr:row>59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F4771B7-9BF0-4A1B-B28A-D0DEFABA9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0</xdr:colOff>
      <xdr:row>24</xdr:row>
      <xdr:rowOff>0</xdr:rowOff>
    </xdr:from>
    <xdr:to>
      <xdr:col>28</xdr:col>
      <xdr:colOff>533400</xdr:colOff>
      <xdr:row>42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5A8701E-BC13-44ED-8192-7695732F74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0</xdr:colOff>
      <xdr:row>44</xdr:row>
      <xdr:rowOff>0</xdr:rowOff>
    </xdr:from>
    <xdr:to>
      <xdr:col>28</xdr:col>
      <xdr:colOff>533400</xdr:colOff>
      <xdr:row>62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D43D877-7A22-40FF-805D-46F2F98F0F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71437</xdr:colOff>
      <xdr:row>9</xdr:row>
      <xdr:rowOff>71438</xdr:rowOff>
    </xdr:from>
    <xdr:to>
      <xdr:col>36</xdr:col>
      <xdr:colOff>226217</xdr:colOff>
      <xdr:row>45</xdr:row>
      <xdr:rowOff>59530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785848-8247-4C75-9DD2-60193A4CDD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178593</xdr:colOff>
      <xdr:row>33</xdr:row>
      <xdr:rowOff>158350</xdr:rowOff>
    </xdr:from>
    <xdr:to>
      <xdr:col>34</xdr:col>
      <xdr:colOff>369092</xdr:colOff>
      <xdr:row>64</xdr:row>
      <xdr:rowOff>142872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4B48F3-A3DD-452D-87AC-712BC91A7F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297655</xdr:colOff>
      <xdr:row>24</xdr:row>
      <xdr:rowOff>35719</xdr:rowOff>
    </xdr:from>
    <xdr:to>
      <xdr:col>35</xdr:col>
      <xdr:colOff>202405</xdr:colOff>
      <xdr:row>55</xdr:row>
      <xdr:rowOff>20242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E4DBB3-4E7D-4824-8B15-FB5DFC7557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404812</xdr:colOff>
      <xdr:row>33</xdr:row>
      <xdr:rowOff>158350</xdr:rowOff>
    </xdr:from>
    <xdr:to>
      <xdr:col>34</xdr:col>
      <xdr:colOff>595311</xdr:colOff>
      <xdr:row>64</xdr:row>
      <xdr:rowOff>142872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F8E8D4-2113-4EEA-9BBA-2C43CD77AD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428625</xdr:colOff>
      <xdr:row>25</xdr:row>
      <xdr:rowOff>71438</xdr:rowOff>
    </xdr:from>
    <xdr:to>
      <xdr:col>35</xdr:col>
      <xdr:colOff>333375</xdr:colOff>
      <xdr:row>56</xdr:row>
      <xdr:rowOff>55960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F0896A-D813-4457-9BD3-CE79F6F10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HH96YE_%20MEA%20Statistic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ltonhydro.sharepoint.com/Documents%20and%20Settings/brajovicr/Local%20Settings/Temporary%20Internet%20Files/Content.Outlook/HAF9ATEP/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ltonhydro.sharepoint.com/CTennant/Return%20on%20Equity%20and%20WC/RateMake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ltonhydro.sharepoint.com/LDC%20FTY%20-%20LF/CostAllocat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891282D\Exhibit%203%20Distribution%20Revenue%20Throughputs%20-%20Blan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5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ltonhydro.sharepoint.com/Documents%20and%20Settings/bbacon/My%20Documents/Orillia/2010%20Rates/2010%20Rate%20File%20-%20July%202,%202009/Documents%20and%20Settings/phurley/Desktop/Lakeland%20Rate%20App/LPDL_2009%20Revenue%20Requiremen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Statistics"/>
      <sheetName val="North York Stat"/>
      <sheetName val="MEA Title Pge"/>
      <sheetName val="Old MEA Statistics"/>
      <sheetName val="Input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SUMMARY</v>
          </cell>
        </row>
        <row r="250">
          <cell r="B250" t="str">
            <v xml:space="preserve">   Average for medium size utilities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 refreshError="1"/>
      <sheetData sheetId="1" refreshError="1">
        <row r="13">
          <cell r="C1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4">
          <cell r="C14" t="str">
            <v> </v>
          </cell>
        </row>
      </sheetData>
      <sheetData sheetId="59" refreshError="1"/>
      <sheetData sheetId="6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Historic CDM"/>
      <sheetName val="Economic"/>
      <sheetName val="Weather"/>
      <sheetName val="Residential"/>
      <sheetName val="CDM Forecast"/>
      <sheetName val="Residential (WN)"/>
      <sheetName val="Residential (WN) Trend"/>
      <sheetName val="Demand Data"/>
    </sheetNames>
    <sheetDataSet>
      <sheetData sheetId="0"/>
      <sheetData sheetId="1"/>
      <sheetData sheetId="2"/>
      <sheetData sheetId="3">
        <row r="1">
          <cell r="EK1" t="str">
            <v>Predicted Res</v>
          </cell>
        </row>
      </sheetData>
      <sheetData sheetId="4">
        <row r="2">
          <cell r="F2" t="str">
            <v>Used + CDM</v>
          </cell>
          <cell r="G2" t="str">
            <v>HDD16</v>
          </cell>
          <cell r="H2" t="str">
            <v>CDD16</v>
          </cell>
          <cell r="I2" t="str">
            <v>Number of Days in Month</v>
          </cell>
        </row>
        <row r="3">
          <cell r="F3">
            <v>23733365.085325282</v>
          </cell>
          <cell r="G3">
            <v>713.3</v>
          </cell>
          <cell r="H3">
            <v>0</v>
          </cell>
          <cell r="I3">
            <v>31</v>
          </cell>
        </row>
        <row r="4">
          <cell r="F4">
            <v>22310529.535325348</v>
          </cell>
          <cell r="G4">
            <v>598.20000000000016</v>
          </cell>
          <cell r="H4">
            <v>0</v>
          </cell>
          <cell r="I4">
            <v>28</v>
          </cell>
        </row>
        <row r="5">
          <cell r="F5">
            <v>20561511.105325352</v>
          </cell>
          <cell r="G5">
            <v>510.79999999999995</v>
          </cell>
          <cell r="H5">
            <v>0</v>
          </cell>
          <cell r="I5">
            <v>31</v>
          </cell>
        </row>
        <row r="6">
          <cell r="F6">
            <v>18196504.345325314</v>
          </cell>
          <cell r="G6">
            <v>272.29999999999995</v>
          </cell>
          <cell r="H6">
            <v>0</v>
          </cell>
          <cell r="I6">
            <v>30</v>
          </cell>
        </row>
        <row r="7">
          <cell r="F7">
            <v>19242436.605325352</v>
          </cell>
          <cell r="G7">
            <v>87.4</v>
          </cell>
          <cell r="H7">
            <v>28.3</v>
          </cell>
          <cell r="I7">
            <v>31</v>
          </cell>
        </row>
        <row r="8">
          <cell r="F8">
            <v>23455207.885325335</v>
          </cell>
          <cell r="G8">
            <v>4.7999999999999989</v>
          </cell>
          <cell r="H8">
            <v>97.999999999999986</v>
          </cell>
          <cell r="I8">
            <v>30</v>
          </cell>
        </row>
        <row r="9">
          <cell r="F9">
            <v>29881256.025325283</v>
          </cell>
          <cell r="G9">
            <v>0</v>
          </cell>
          <cell r="H9">
            <v>260.30000000000007</v>
          </cell>
          <cell r="I9">
            <v>31</v>
          </cell>
        </row>
        <row r="10">
          <cell r="F10">
            <v>28120502.455325332</v>
          </cell>
          <cell r="G10">
            <v>0</v>
          </cell>
          <cell r="H10">
            <v>184.2</v>
          </cell>
          <cell r="I10">
            <v>31</v>
          </cell>
        </row>
        <row r="11">
          <cell r="F11">
            <v>19919582.535325326</v>
          </cell>
          <cell r="G11">
            <v>22.400000000000006</v>
          </cell>
          <cell r="H11">
            <v>73.7</v>
          </cell>
          <cell r="I11">
            <v>30</v>
          </cell>
        </row>
        <row r="12">
          <cell r="F12">
            <v>18267774.095325306</v>
          </cell>
          <cell r="G12">
            <v>180.70000000000002</v>
          </cell>
          <cell r="H12">
            <v>9.6999999999999957</v>
          </cell>
          <cell r="I12">
            <v>31</v>
          </cell>
        </row>
        <row r="13">
          <cell r="F13">
            <v>20206933.495325342</v>
          </cell>
          <cell r="G13">
            <v>281.89999999999998</v>
          </cell>
          <cell r="H13">
            <v>0</v>
          </cell>
          <cell r="I13">
            <v>30</v>
          </cell>
        </row>
        <row r="14">
          <cell r="F14">
            <v>25108396.295325305</v>
          </cell>
          <cell r="G14">
            <v>472.00000000000006</v>
          </cell>
          <cell r="H14">
            <v>0</v>
          </cell>
          <cell r="I14">
            <v>31</v>
          </cell>
        </row>
        <row r="15">
          <cell r="F15">
            <v>22665511.009777255</v>
          </cell>
          <cell r="G15">
            <v>549.1</v>
          </cell>
          <cell r="H15">
            <v>0</v>
          </cell>
          <cell r="I15">
            <v>31</v>
          </cell>
        </row>
        <row r="16">
          <cell r="F16">
            <v>21731631.059777245</v>
          </cell>
          <cell r="G16">
            <v>473.70000000000005</v>
          </cell>
          <cell r="H16">
            <v>0</v>
          </cell>
          <cell r="I16">
            <v>29</v>
          </cell>
        </row>
        <row r="17">
          <cell r="F17">
            <v>20010014.379777245</v>
          </cell>
          <cell r="G17">
            <v>290.2</v>
          </cell>
          <cell r="H17">
            <v>3</v>
          </cell>
          <cell r="I17">
            <v>31</v>
          </cell>
        </row>
        <row r="18">
          <cell r="F18">
            <v>18912007.339777257</v>
          </cell>
          <cell r="G18">
            <v>263.10000000000002</v>
          </cell>
          <cell r="H18">
            <v>1.3999999999999986</v>
          </cell>
          <cell r="I18">
            <v>30</v>
          </cell>
        </row>
        <row r="19">
          <cell r="F19">
            <v>19051304.719777234</v>
          </cell>
          <cell r="G19">
            <v>46.199999999999989</v>
          </cell>
          <cell r="H19">
            <v>64.199999999999989</v>
          </cell>
          <cell r="I19">
            <v>31</v>
          </cell>
        </row>
        <row r="20">
          <cell r="F20">
            <v>27958863.159777239</v>
          </cell>
          <cell r="G20">
            <v>9.6</v>
          </cell>
          <cell r="H20">
            <v>148</v>
          </cell>
          <cell r="I20">
            <v>30</v>
          </cell>
        </row>
        <row r="21">
          <cell r="F21">
            <v>33576079.829777248</v>
          </cell>
          <cell r="G21">
            <v>0</v>
          </cell>
          <cell r="H21">
            <v>257.39999999999998</v>
          </cell>
          <cell r="I21">
            <v>31</v>
          </cell>
        </row>
        <row r="22">
          <cell r="F22">
            <v>30029439.459777251</v>
          </cell>
          <cell r="G22">
            <v>0</v>
          </cell>
          <cell r="H22">
            <v>172.1</v>
          </cell>
          <cell r="I22">
            <v>31</v>
          </cell>
        </row>
        <row r="23">
          <cell r="F23">
            <v>21238214.669777248</v>
          </cell>
          <cell r="G23">
            <v>48.300000000000011</v>
          </cell>
          <cell r="H23">
            <v>58.899999999999991</v>
          </cell>
          <cell r="I23">
            <v>30</v>
          </cell>
        </row>
        <row r="24">
          <cell r="F24">
            <v>19640038.639777251</v>
          </cell>
          <cell r="G24">
            <v>183.9</v>
          </cell>
          <cell r="H24">
            <v>4.5</v>
          </cell>
          <cell r="I24">
            <v>31</v>
          </cell>
        </row>
        <row r="25">
          <cell r="F25">
            <v>21482109.149777245</v>
          </cell>
          <cell r="G25">
            <v>373.99999999999994</v>
          </cell>
          <cell r="H25">
            <v>0</v>
          </cell>
          <cell r="I25">
            <v>30</v>
          </cell>
        </row>
        <row r="26">
          <cell r="F26">
            <v>25647572.909777213</v>
          </cell>
          <cell r="G26">
            <v>471.50000000000006</v>
          </cell>
          <cell r="H26">
            <v>0</v>
          </cell>
          <cell r="I26">
            <v>31</v>
          </cell>
        </row>
        <row r="27">
          <cell r="F27">
            <v>24743261.071531244</v>
          </cell>
          <cell r="G27">
            <v>562.50000000000011</v>
          </cell>
          <cell r="H27">
            <v>0</v>
          </cell>
          <cell r="I27">
            <v>31</v>
          </cell>
        </row>
        <row r="28">
          <cell r="F28">
            <v>23224532.891531281</v>
          </cell>
          <cell r="G28">
            <v>575.5</v>
          </cell>
          <cell r="H28">
            <v>0</v>
          </cell>
          <cell r="I28">
            <v>28</v>
          </cell>
        </row>
        <row r="29">
          <cell r="F29">
            <v>23052750.88153125</v>
          </cell>
          <cell r="G29">
            <v>492.79999999999995</v>
          </cell>
          <cell r="H29">
            <v>0</v>
          </cell>
          <cell r="I29">
            <v>31</v>
          </cell>
        </row>
        <row r="30">
          <cell r="F30">
            <v>19679187.661531229</v>
          </cell>
          <cell r="G30">
            <v>298.60000000000002</v>
          </cell>
          <cell r="H30">
            <v>0</v>
          </cell>
          <cell r="I30">
            <v>30</v>
          </cell>
        </row>
        <row r="31">
          <cell r="F31">
            <v>20796344.531531259</v>
          </cell>
          <cell r="G31">
            <v>70.100000000000009</v>
          </cell>
          <cell r="H31">
            <v>46.1</v>
          </cell>
          <cell r="I31">
            <v>31</v>
          </cell>
        </row>
        <row r="32">
          <cell r="F32">
            <v>24720133.67153126</v>
          </cell>
          <cell r="G32">
            <v>12.7</v>
          </cell>
          <cell r="H32">
            <v>99.300000000000011</v>
          </cell>
          <cell r="I32">
            <v>30</v>
          </cell>
        </row>
        <row r="33">
          <cell r="F33">
            <v>31067397.23153127</v>
          </cell>
          <cell r="G33">
            <v>0</v>
          </cell>
          <cell r="H33">
            <v>195.3</v>
          </cell>
          <cell r="I33">
            <v>31</v>
          </cell>
        </row>
        <row r="34">
          <cell r="F34">
            <v>28442759.621531248</v>
          </cell>
          <cell r="G34">
            <v>0</v>
          </cell>
          <cell r="H34">
            <v>151.39999999999998</v>
          </cell>
          <cell r="I34">
            <v>31</v>
          </cell>
        </row>
        <row r="35">
          <cell r="F35">
            <v>20912722.881531265</v>
          </cell>
          <cell r="G35">
            <v>49.2</v>
          </cell>
          <cell r="H35">
            <v>47.3</v>
          </cell>
          <cell r="I35">
            <v>30</v>
          </cell>
        </row>
        <row r="36">
          <cell r="F36">
            <v>20981353.041531246</v>
          </cell>
          <cell r="G36">
            <v>166</v>
          </cell>
          <cell r="H36">
            <v>4.6999999999999993</v>
          </cell>
          <cell r="I36">
            <v>31</v>
          </cell>
        </row>
        <row r="37">
          <cell r="F37">
            <v>21829613.801531244</v>
          </cell>
          <cell r="G37">
            <v>418.20000000000005</v>
          </cell>
          <cell r="H37">
            <v>0</v>
          </cell>
          <cell r="I37">
            <v>30</v>
          </cell>
        </row>
        <row r="38">
          <cell r="F38">
            <v>28911020.861531246</v>
          </cell>
          <cell r="G38">
            <v>625.9</v>
          </cell>
          <cell r="H38">
            <v>0</v>
          </cell>
          <cell r="I38">
            <v>31</v>
          </cell>
        </row>
        <row r="39">
          <cell r="F39">
            <v>26360023.557272851</v>
          </cell>
          <cell r="G39">
            <v>763.9000000000002</v>
          </cell>
          <cell r="H39">
            <v>0</v>
          </cell>
          <cell r="I39">
            <v>31</v>
          </cell>
        </row>
        <row r="40">
          <cell r="F40">
            <v>26374215.547272835</v>
          </cell>
          <cell r="G40">
            <v>681.0999999999998</v>
          </cell>
          <cell r="H40">
            <v>0</v>
          </cell>
          <cell r="I40">
            <v>28</v>
          </cell>
        </row>
        <row r="41">
          <cell r="F41">
            <v>24141795.047272857</v>
          </cell>
          <cell r="G41">
            <v>628.6</v>
          </cell>
          <cell r="H41">
            <v>0</v>
          </cell>
          <cell r="I41">
            <v>31</v>
          </cell>
        </row>
        <row r="42">
          <cell r="F42">
            <v>22071105.877272848</v>
          </cell>
          <cell r="G42">
            <v>296.90000000000003</v>
          </cell>
          <cell r="H42">
            <v>0</v>
          </cell>
          <cell r="I42">
            <v>30</v>
          </cell>
        </row>
        <row r="43">
          <cell r="F43">
            <v>20648893.407272812</v>
          </cell>
          <cell r="G43">
            <v>81.700000000000031</v>
          </cell>
          <cell r="H43">
            <v>23.500000000000004</v>
          </cell>
          <cell r="I43">
            <v>31</v>
          </cell>
        </row>
        <row r="44">
          <cell r="F44">
            <v>24572425.267272837</v>
          </cell>
          <cell r="G44">
            <v>2.7999999999999989</v>
          </cell>
          <cell r="H44">
            <v>116.8</v>
          </cell>
          <cell r="I44">
            <v>30</v>
          </cell>
        </row>
        <row r="45">
          <cell r="F45">
            <v>28609332.357272841</v>
          </cell>
          <cell r="G45">
            <v>0</v>
          </cell>
          <cell r="H45">
            <v>129</v>
          </cell>
          <cell r="I45">
            <v>31</v>
          </cell>
        </row>
        <row r="46">
          <cell r="F46">
            <v>26478984.537272859</v>
          </cell>
          <cell r="G46">
            <v>1</v>
          </cell>
          <cell r="H46">
            <v>136</v>
          </cell>
          <cell r="I46">
            <v>31</v>
          </cell>
        </row>
        <row r="47">
          <cell r="F47">
            <v>21763182.987272844</v>
          </cell>
          <cell r="G47">
            <v>39.299999999999997</v>
          </cell>
          <cell r="H47">
            <v>59.70000000000001</v>
          </cell>
          <cell r="I47">
            <v>30</v>
          </cell>
        </row>
        <row r="48">
          <cell r="F48">
            <v>21382264.647272848</v>
          </cell>
          <cell r="G48">
            <v>167.3</v>
          </cell>
          <cell r="H48">
            <v>6.3000000000000007</v>
          </cell>
          <cell r="I48">
            <v>31</v>
          </cell>
        </row>
        <row r="49">
          <cell r="F49">
            <v>22562429.487272851</v>
          </cell>
          <cell r="G49">
            <v>422.10000000000008</v>
          </cell>
          <cell r="H49">
            <v>0</v>
          </cell>
          <cell r="I49">
            <v>30</v>
          </cell>
        </row>
        <row r="50">
          <cell r="F50">
            <v>27673778.197272848</v>
          </cell>
          <cell r="G50">
            <v>495.30000000000007</v>
          </cell>
          <cell r="H50">
            <v>0</v>
          </cell>
          <cell r="I50">
            <v>31</v>
          </cell>
        </row>
        <row r="51">
          <cell r="F51">
            <v>28069177.441256527</v>
          </cell>
          <cell r="G51">
            <v>730.39999999999975</v>
          </cell>
          <cell r="H51">
            <v>0</v>
          </cell>
          <cell r="I51">
            <v>31</v>
          </cell>
        </row>
        <row r="52">
          <cell r="F52">
            <v>26707165.383425221</v>
          </cell>
          <cell r="G52">
            <v>800.8</v>
          </cell>
          <cell r="H52">
            <v>0</v>
          </cell>
          <cell r="I52">
            <v>28</v>
          </cell>
        </row>
        <row r="53">
          <cell r="F53">
            <v>24478082.20270231</v>
          </cell>
          <cell r="G53">
            <v>553.5</v>
          </cell>
          <cell r="H53">
            <v>0</v>
          </cell>
          <cell r="I53">
            <v>31</v>
          </cell>
        </row>
        <row r="54">
          <cell r="F54">
            <v>20676669.084630042</v>
          </cell>
          <cell r="G54">
            <v>253.70000000000002</v>
          </cell>
          <cell r="H54">
            <v>0</v>
          </cell>
          <cell r="I54">
            <v>30</v>
          </cell>
        </row>
        <row r="55">
          <cell r="F55">
            <v>21746093.258124005</v>
          </cell>
          <cell r="G55">
            <v>56.900000000000006</v>
          </cell>
          <cell r="H55">
            <v>63.7</v>
          </cell>
          <cell r="I55">
            <v>31</v>
          </cell>
        </row>
        <row r="56">
          <cell r="F56">
            <v>25107302.887039673</v>
          </cell>
          <cell r="G56">
            <v>14.299999999999999</v>
          </cell>
          <cell r="H56">
            <v>72.800000000000011</v>
          </cell>
          <cell r="I56">
            <v>30</v>
          </cell>
        </row>
        <row r="57">
          <cell r="F57">
            <v>31952965.229208339</v>
          </cell>
          <cell r="G57">
            <v>0</v>
          </cell>
          <cell r="H57">
            <v>172.30000000000004</v>
          </cell>
          <cell r="I57">
            <v>31</v>
          </cell>
        </row>
        <row r="58">
          <cell r="F58">
            <v>29580077.267762542</v>
          </cell>
          <cell r="G58">
            <v>0</v>
          </cell>
          <cell r="H58">
            <v>146.20000000000002</v>
          </cell>
          <cell r="I58">
            <v>31</v>
          </cell>
        </row>
        <row r="59">
          <cell r="F59">
            <v>26608771.542461362</v>
          </cell>
          <cell r="G59">
            <v>12.9</v>
          </cell>
          <cell r="H59">
            <v>123.69999999999999</v>
          </cell>
          <cell r="I59">
            <v>30</v>
          </cell>
        </row>
        <row r="60">
          <cell r="F60">
            <v>21483913.277401097</v>
          </cell>
          <cell r="G60">
            <v>190.60000000000002</v>
          </cell>
          <cell r="H60">
            <v>2.7999999999999972</v>
          </cell>
          <cell r="I60">
            <v>31</v>
          </cell>
        </row>
        <row r="61">
          <cell r="F61">
            <v>19734087.166557718</v>
          </cell>
          <cell r="G61">
            <v>285</v>
          </cell>
          <cell r="H61">
            <v>0</v>
          </cell>
          <cell r="I61">
            <v>30</v>
          </cell>
        </row>
        <row r="62">
          <cell r="F62">
            <v>23600600.062943287</v>
          </cell>
          <cell r="G62">
            <v>367.70000000000005</v>
          </cell>
          <cell r="H62">
            <v>0</v>
          </cell>
          <cell r="I62">
            <v>31</v>
          </cell>
        </row>
        <row r="63">
          <cell r="F63">
            <v>26488550.719732195</v>
          </cell>
          <cell r="G63">
            <v>608.4</v>
          </cell>
          <cell r="H63">
            <v>0</v>
          </cell>
          <cell r="I63">
            <v>31</v>
          </cell>
        </row>
        <row r="64">
          <cell r="F64">
            <v>25023617.148647863</v>
          </cell>
          <cell r="G64">
            <v>530.40000000000009</v>
          </cell>
          <cell r="H64">
            <v>0</v>
          </cell>
          <cell r="I64">
            <v>29</v>
          </cell>
        </row>
        <row r="65">
          <cell r="F65">
            <v>23461776.319732215</v>
          </cell>
          <cell r="G65">
            <v>414.0999999999998</v>
          </cell>
          <cell r="H65">
            <v>0</v>
          </cell>
          <cell r="I65">
            <v>31</v>
          </cell>
        </row>
        <row r="66">
          <cell r="F66">
            <v>22136159.26912979</v>
          </cell>
          <cell r="G66">
            <v>335.1</v>
          </cell>
          <cell r="H66">
            <v>0.30000000000000071</v>
          </cell>
          <cell r="I66">
            <v>30</v>
          </cell>
        </row>
        <row r="67">
          <cell r="F67">
            <v>21068139.211298458</v>
          </cell>
          <cell r="G67">
            <v>102.19999999999999</v>
          </cell>
          <cell r="H67">
            <v>58.6</v>
          </cell>
          <cell r="I67">
            <v>31</v>
          </cell>
        </row>
        <row r="68">
          <cell r="F68">
            <v>30493925.726961114</v>
          </cell>
          <cell r="G68">
            <v>9.1999999999999993</v>
          </cell>
          <cell r="H68">
            <v>128.70000000000002</v>
          </cell>
          <cell r="I68">
            <v>30</v>
          </cell>
        </row>
        <row r="69">
          <cell r="F69">
            <v>36232069.967924938</v>
          </cell>
          <cell r="G69">
            <v>0</v>
          </cell>
          <cell r="H69">
            <v>238.9</v>
          </cell>
          <cell r="I69">
            <v>31</v>
          </cell>
        </row>
        <row r="70">
          <cell r="F70">
            <v>36666591.857081592</v>
          </cell>
          <cell r="G70">
            <v>0</v>
          </cell>
          <cell r="H70">
            <v>257.40000000000003</v>
          </cell>
          <cell r="I70">
            <v>31</v>
          </cell>
        </row>
        <row r="71">
          <cell r="F71">
            <v>27451832.531780414</v>
          </cell>
          <cell r="G71">
            <v>8.3999999999999986</v>
          </cell>
          <cell r="H71">
            <v>111.89999999999999</v>
          </cell>
          <cell r="I71">
            <v>30</v>
          </cell>
        </row>
        <row r="72">
          <cell r="F72">
            <v>19916253.264310535</v>
          </cell>
          <cell r="G72">
            <v>144.70000000000002</v>
          </cell>
          <cell r="H72">
            <v>16.600000000000005</v>
          </cell>
          <cell r="I72">
            <v>31</v>
          </cell>
        </row>
        <row r="73">
          <cell r="F73">
            <v>19873181.534190029</v>
          </cell>
          <cell r="G73">
            <v>277.79999999999995</v>
          </cell>
          <cell r="H73">
            <v>0</v>
          </cell>
          <cell r="I73">
            <v>30</v>
          </cell>
        </row>
        <row r="74">
          <cell r="F74">
            <v>27978193.948647868</v>
          </cell>
          <cell r="G74">
            <v>545.99999999999989</v>
          </cell>
          <cell r="H74">
            <v>0</v>
          </cell>
          <cell r="I74">
            <v>31</v>
          </cell>
        </row>
        <row r="75">
          <cell r="F75">
            <v>27093622.098643739</v>
          </cell>
          <cell r="G75">
            <v>546.9</v>
          </cell>
          <cell r="H75">
            <v>0</v>
          </cell>
          <cell r="I75">
            <v>31</v>
          </cell>
        </row>
        <row r="76">
          <cell r="F76">
            <v>23068759.370932903</v>
          </cell>
          <cell r="G76">
            <v>454.4</v>
          </cell>
          <cell r="H76">
            <v>0</v>
          </cell>
          <cell r="I76">
            <v>28</v>
          </cell>
        </row>
        <row r="77">
          <cell r="F77">
            <v>25389455.235993147</v>
          </cell>
          <cell r="G77">
            <v>512</v>
          </cell>
          <cell r="H77">
            <v>0</v>
          </cell>
          <cell r="I77">
            <v>31</v>
          </cell>
        </row>
        <row r="78">
          <cell r="F78">
            <v>20358576.739607595</v>
          </cell>
          <cell r="G78">
            <v>199.7</v>
          </cell>
          <cell r="H78">
            <v>2.1999999999999993</v>
          </cell>
          <cell r="I78">
            <v>30</v>
          </cell>
        </row>
        <row r="79">
          <cell r="F79">
            <v>21397367.515511237</v>
          </cell>
          <cell r="G79">
            <v>125.89999999999998</v>
          </cell>
          <cell r="H79">
            <v>19.900000000000002</v>
          </cell>
          <cell r="I79">
            <v>31</v>
          </cell>
        </row>
        <row r="80">
          <cell r="F80">
            <v>28536633.10587268</v>
          </cell>
          <cell r="G80">
            <v>8.8000000000000007</v>
          </cell>
          <cell r="H80">
            <v>110.30000000000001</v>
          </cell>
          <cell r="I80">
            <v>30</v>
          </cell>
        </row>
        <row r="81">
          <cell r="F81">
            <v>29930546.214306407</v>
          </cell>
          <cell r="G81">
            <v>0</v>
          </cell>
          <cell r="H81">
            <v>178.50000000000003</v>
          </cell>
          <cell r="I81">
            <v>31</v>
          </cell>
        </row>
        <row r="82">
          <cell r="F82">
            <v>30545492.91310158</v>
          </cell>
          <cell r="G82">
            <v>1.9000000000000004</v>
          </cell>
          <cell r="H82">
            <v>127.49999999999999</v>
          </cell>
          <cell r="I82">
            <v>31</v>
          </cell>
        </row>
        <row r="83">
          <cell r="F83">
            <v>26816098.763703998</v>
          </cell>
          <cell r="G83">
            <v>25.2</v>
          </cell>
          <cell r="H83">
            <v>107.6</v>
          </cell>
          <cell r="I83">
            <v>30</v>
          </cell>
        </row>
        <row r="84">
          <cell r="F84">
            <v>21561059.833583519</v>
          </cell>
          <cell r="G84">
            <v>103.3</v>
          </cell>
          <cell r="H84">
            <v>19.399999999999999</v>
          </cell>
          <cell r="I84">
            <v>31</v>
          </cell>
        </row>
        <row r="85">
          <cell r="F85">
            <v>23579172.681776274</v>
          </cell>
          <cell r="G85">
            <v>369.4</v>
          </cell>
          <cell r="H85">
            <v>0</v>
          </cell>
          <cell r="I85">
            <v>30</v>
          </cell>
        </row>
        <row r="86">
          <cell r="F86">
            <v>27478381.028764222</v>
          </cell>
          <cell r="G86">
            <v>656.49999999999989</v>
          </cell>
          <cell r="H86">
            <v>0</v>
          </cell>
          <cell r="I86">
            <v>31</v>
          </cell>
        </row>
        <row r="87">
          <cell r="F87">
            <v>29607203.423201349</v>
          </cell>
          <cell r="G87">
            <v>670.29999999999984</v>
          </cell>
          <cell r="H87">
            <v>0</v>
          </cell>
          <cell r="I87">
            <v>31</v>
          </cell>
        </row>
        <row r="88">
          <cell r="F88">
            <v>24179288.772598948</v>
          </cell>
          <cell r="G88">
            <v>499.00000000000011</v>
          </cell>
          <cell r="H88">
            <v>0</v>
          </cell>
          <cell r="I88">
            <v>28</v>
          </cell>
        </row>
        <row r="89">
          <cell r="F89">
            <v>26124027.606333889</v>
          </cell>
          <cell r="G89">
            <v>492</v>
          </cell>
          <cell r="H89">
            <v>0</v>
          </cell>
          <cell r="I89">
            <v>31</v>
          </cell>
        </row>
        <row r="90">
          <cell r="F90">
            <v>22298688.406333879</v>
          </cell>
          <cell r="G90">
            <v>377.2</v>
          </cell>
          <cell r="H90">
            <v>0</v>
          </cell>
          <cell r="I90">
            <v>30</v>
          </cell>
        </row>
        <row r="91">
          <cell r="F91">
            <v>24908740.34850258</v>
          </cell>
          <cell r="G91">
            <v>39.300000000000004</v>
          </cell>
          <cell r="H91">
            <v>69.399999999999991</v>
          </cell>
          <cell r="I91">
            <v>31</v>
          </cell>
        </row>
        <row r="92">
          <cell r="F92">
            <v>34041039.172598973</v>
          </cell>
          <cell r="G92">
            <v>5.6999999999999993</v>
          </cell>
          <cell r="H92">
            <v>111.39999999999998</v>
          </cell>
          <cell r="I92">
            <v>30</v>
          </cell>
        </row>
        <row r="93">
          <cell r="F93">
            <v>35267527.105129071</v>
          </cell>
          <cell r="G93">
            <v>0</v>
          </cell>
          <cell r="H93">
            <v>229.79999999999998</v>
          </cell>
          <cell r="I93">
            <v>31</v>
          </cell>
        </row>
        <row r="94">
          <cell r="F94">
            <v>37882496.762960359</v>
          </cell>
          <cell r="G94">
            <v>0</v>
          </cell>
          <cell r="H94">
            <v>223.20000000000002</v>
          </cell>
          <cell r="I94">
            <v>31</v>
          </cell>
        </row>
        <row r="95">
          <cell r="F95">
            <v>28623515.240068838</v>
          </cell>
          <cell r="G95">
            <v>25.1</v>
          </cell>
          <cell r="H95">
            <v>114.89999999999998</v>
          </cell>
          <cell r="I95">
            <v>30</v>
          </cell>
        </row>
        <row r="96">
          <cell r="F96">
            <v>23069429.620791711</v>
          </cell>
          <cell r="G96">
            <v>231.4</v>
          </cell>
          <cell r="H96">
            <v>12.2</v>
          </cell>
          <cell r="I96">
            <v>31</v>
          </cell>
        </row>
        <row r="97">
          <cell r="F97">
            <v>22177389.890671223</v>
          </cell>
          <cell r="G97">
            <v>434.10000000000008</v>
          </cell>
          <cell r="H97">
            <v>0</v>
          </cell>
          <cell r="I97">
            <v>30</v>
          </cell>
        </row>
        <row r="98">
          <cell r="F98">
            <v>30826041.620791715</v>
          </cell>
          <cell r="G98">
            <v>501.6</v>
          </cell>
          <cell r="H98">
            <v>0</v>
          </cell>
          <cell r="I98">
            <v>31</v>
          </cell>
        </row>
        <row r="99">
          <cell r="F99">
            <v>30296678.502611879</v>
          </cell>
          <cell r="G99">
            <v>702.49999999999989</v>
          </cell>
          <cell r="H99">
            <v>0</v>
          </cell>
          <cell r="I99">
            <v>31</v>
          </cell>
        </row>
        <row r="100">
          <cell r="F100">
            <v>27263823.630322684</v>
          </cell>
          <cell r="G100">
            <v>565.70000000000005</v>
          </cell>
          <cell r="H100">
            <v>0</v>
          </cell>
          <cell r="I100">
            <v>28</v>
          </cell>
        </row>
        <row r="101">
          <cell r="F101">
            <v>25289889.885744374</v>
          </cell>
          <cell r="G101">
            <v>531.9</v>
          </cell>
          <cell r="H101">
            <v>0</v>
          </cell>
          <cell r="I101">
            <v>31</v>
          </cell>
        </row>
        <row r="102">
          <cell r="F102">
            <v>24085428.083334759</v>
          </cell>
          <cell r="G102">
            <v>286.80000000000007</v>
          </cell>
          <cell r="H102">
            <v>0</v>
          </cell>
          <cell r="I102">
            <v>30</v>
          </cell>
        </row>
        <row r="103">
          <cell r="F103">
            <v>23509154.888154022</v>
          </cell>
          <cell r="G103">
            <v>135.6</v>
          </cell>
          <cell r="H103">
            <v>4.6000000000000014</v>
          </cell>
          <cell r="I103">
            <v>31</v>
          </cell>
        </row>
        <row r="104">
          <cell r="F104">
            <v>26580302.01104556</v>
          </cell>
          <cell r="G104">
            <v>13.800000000000002</v>
          </cell>
          <cell r="H104">
            <v>79.600000000000009</v>
          </cell>
          <cell r="I104">
            <v>30</v>
          </cell>
        </row>
        <row r="105">
          <cell r="F105">
            <v>38634397.654419079</v>
          </cell>
          <cell r="G105">
            <v>0</v>
          </cell>
          <cell r="H105">
            <v>228.9</v>
          </cell>
          <cell r="I105">
            <v>31</v>
          </cell>
        </row>
        <row r="106">
          <cell r="F106">
            <v>35462351.398997389</v>
          </cell>
          <cell r="G106">
            <v>0</v>
          </cell>
          <cell r="H106">
            <v>164.40000000000006</v>
          </cell>
          <cell r="I106">
            <v>31</v>
          </cell>
        </row>
        <row r="107">
          <cell r="F107">
            <v>26458002.714660037</v>
          </cell>
          <cell r="G107">
            <v>11.699999999999998</v>
          </cell>
          <cell r="H107">
            <v>58.7</v>
          </cell>
          <cell r="I107">
            <v>30</v>
          </cell>
        </row>
        <row r="108">
          <cell r="F108">
            <v>23458321.991768487</v>
          </cell>
          <cell r="G108">
            <v>177.10000000000002</v>
          </cell>
          <cell r="H108">
            <v>7.7000000000000028</v>
          </cell>
          <cell r="I108">
            <v>31</v>
          </cell>
        </row>
        <row r="109">
          <cell r="F109">
            <v>22723875.611045595</v>
          </cell>
          <cell r="G109">
            <v>453.3</v>
          </cell>
          <cell r="H109">
            <v>0</v>
          </cell>
          <cell r="I109">
            <v>30</v>
          </cell>
        </row>
        <row r="110">
          <cell r="F110">
            <v>29555236.748394977</v>
          </cell>
          <cell r="G110">
            <v>520.4</v>
          </cell>
          <cell r="H110">
            <v>0</v>
          </cell>
          <cell r="I110">
            <v>31</v>
          </cell>
        </row>
      </sheetData>
      <sheetData sheetId="5"/>
      <sheetData sheetId="6">
        <row r="3">
          <cell r="A3">
            <v>40544</v>
          </cell>
        </row>
      </sheetData>
      <sheetData sheetId="7">
        <row r="3">
          <cell r="A3">
            <v>40544</v>
          </cell>
        </row>
      </sheetData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161E3-C625-4F8F-A832-6F52F8315AC7}">
  <sheetPr>
    <tabColor theme="6" tint="0.79998168889431442"/>
  </sheetPr>
  <dimension ref="A1:AU195"/>
  <sheetViews>
    <sheetView zoomScale="85" zoomScaleNormal="85" workbookViewId="0">
      <pane xSplit="1" ySplit="2" topLeftCell="L15" activePane="bottomRight" state="frozen"/>
      <selection activeCell="V159" sqref="V159"/>
      <selection pane="topRight" activeCell="V159" sqref="V159"/>
      <selection pane="bottomLeft" activeCell="V159" sqref="V159"/>
      <selection pane="bottomRight" activeCell="S7" sqref="S7"/>
    </sheetView>
  </sheetViews>
  <sheetFormatPr defaultRowHeight="12.75" x14ac:dyDescent="0.2"/>
  <cols>
    <col min="1" max="3" width="11.85546875" customWidth="1"/>
    <col min="4" max="4" width="14.85546875" customWidth="1"/>
    <col min="5" max="5" width="11.85546875" customWidth="1"/>
    <col min="6" max="6" width="13" style="5" bestFit="1" customWidth="1"/>
    <col min="7" max="7" width="10.85546875" style="1" customWidth="1"/>
    <col min="8" max="8" width="11.85546875" style="1" customWidth="1"/>
    <col min="9" max="9" width="8" style="1" customWidth="1"/>
    <col min="10" max="10" width="13.5703125" style="55" bestFit="1" customWidth="1"/>
    <col min="11" max="11" width="10.140625" style="1" customWidth="1"/>
    <col min="12" max="12" width="14.7109375" style="1" customWidth="1"/>
    <col min="13" max="13" width="16" style="1" bestFit="1" customWidth="1"/>
    <col min="14" max="14" width="16" style="1" customWidth="1"/>
    <col min="15" max="15" width="15.140625" style="1" bestFit="1" customWidth="1"/>
    <col min="16" max="16" width="14.42578125" style="1" customWidth="1"/>
    <col min="17" max="17" width="22.42578125" bestFit="1" customWidth="1"/>
    <col min="18" max="18" width="13" customWidth="1"/>
    <col min="19" max="19" width="18.85546875" bestFit="1" customWidth="1"/>
    <col min="20" max="20" width="13.7109375" bestFit="1" customWidth="1"/>
    <col min="21" max="21" width="13" bestFit="1" customWidth="1"/>
    <col min="22" max="22" width="14.85546875" bestFit="1" customWidth="1"/>
    <col min="23" max="25" width="13.7109375" bestFit="1" customWidth="1"/>
    <col min="26" max="27" width="13" bestFit="1" customWidth="1"/>
    <col min="28" max="28" width="12.28515625" bestFit="1" customWidth="1"/>
    <col min="29" max="30" width="12.28515625" style="5" bestFit="1" customWidth="1"/>
    <col min="31" max="37" width="12.7109375" style="5" customWidth="1"/>
    <col min="38" max="47" width="12.7109375" customWidth="1"/>
  </cols>
  <sheetData>
    <row r="1" spans="1:43" ht="20.25" customHeight="1" x14ac:dyDescent="0.25">
      <c r="A1" s="134" t="s">
        <v>69</v>
      </c>
      <c r="B1" s="134"/>
      <c r="C1" s="134"/>
      <c r="D1" s="59"/>
      <c r="E1" s="59"/>
      <c r="F1" s="59"/>
      <c r="G1" s="60"/>
      <c r="J1" s="1"/>
    </row>
    <row r="2" spans="1:43" ht="42" customHeight="1" x14ac:dyDescent="0.2">
      <c r="D2" s="88" t="s">
        <v>0</v>
      </c>
      <c r="E2" s="88" t="s">
        <v>1</v>
      </c>
      <c r="F2" s="88" t="s">
        <v>2</v>
      </c>
      <c r="G2" s="78" t="s">
        <v>15</v>
      </c>
      <c r="H2" s="78" t="s">
        <v>16</v>
      </c>
      <c r="I2" s="7" t="s">
        <v>85</v>
      </c>
      <c r="J2" s="7" t="s">
        <v>75</v>
      </c>
      <c r="K2" s="7" t="s">
        <v>9</v>
      </c>
      <c r="L2" s="80" t="s">
        <v>12</v>
      </c>
      <c r="M2" s="7" t="s">
        <v>76</v>
      </c>
      <c r="N2" s="7" t="s">
        <v>84</v>
      </c>
      <c r="O2" s="7" t="s">
        <v>78</v>
      </c>
      <c r="P2" s="7" t="s">
        <v>79</v>
      </c>
      <c r="AC2" s="6"/>
      <c r="AD2" s="6"/>
      <c r="AE2" s="6"/>
    </row>
    <row r="3" spans="1:43" ht="12.75" customHeight="1" x14ac:dyDescent="0.2">
      <c r="A3" s="2">
        <v>40544</v>
      </c>
      <c r="B3">
        <f>YEAR(A3)</f>
        <v>2011</v>
      </c>
      <c r="C3">
        <f>MONTH(A3)</f>
        <v>1</v>
      </c>
      <c r="D3" s="88">
        <v>6855369.9400000023</v>
      </c>
      <c r="E3" s="88">
        <v>9467.620679902544</v>
      </c>
      <c r="F3" s="88">
        <v>6864837.5606799051</v>
      </c>
      <c r="G3" s="78">
        <v>651.30000000000007</v>
      </c>
      <c r="H3" s="78">
        <v>0</v>
      </c>
      <c r="I3" s="30">
        <v>0</v>
      </c>
      <c r="J3" s="30">
        <v>2283</v>
      </c>
      <c r="K3" s="30">
        <v>1</v>
      </c>
      <c r="L3" s="81">
        <v>0</v>
      </c>
      <c r="M3" s="30">
        <f>$R$19+G3*$R$20+H3*$R$21+I3*$R$22+J3*$R$23+K3*$R$24+L3*$R$25</f>
        <v>7944146.6059864927</v>
      </c>
      <c r="N3" s="30">
        <f t="shared" ref="N3:N34" si="0">M3-E3</f>
        <v>7934678.9853065899</v>
      </c>
      <c r="O3" s="31">
        <f t="shared" ref="O3:O34" si="1">+M3-F3</f>
        <v>1079309.0453065876</v>
      </c>
      <c r="P3" s="48">
        <f t="shared" ref="P3:P34" si="2">ABS(O3/F3)</f>
        <v>0.15722280910018954</v>
      </c>
      <c r="AA3" s="79"/>
      <c r="AC3"/>
      <c r="AD3" s="37"/>
      <c r="AE3" s="62"/>
      <c r="AF3" s="49"/>
      <c r="AG3" s="70"/>
      <c r="AH3" s="70"/>
      <c r="AI3" s="103"/>
      <c r="AJ3" s="70"/>
      <c r="AK3" s="70"/>
      <c r="AL3" s="98"/>
      <c r="AM3" s="103"/>
      <c r="AN3" s="64"/>
      <c r="AO3" s="64"/>
      <c r="AP3" s="5"/>
    </row>
    <row r="4" spans="1:43" x14ac:dyDescent="0.2">
      <c r="A4" s="2">
        <v>40575</v>
      </c>
      <c r="B4">
        <f t="shared" ref="B4:B67" si="3">YEAR(A4)</f>
        <v>2011</v>
      </c>
      <c r="C4">
        <f t="shared" ref="C4:C67" si="4">MONTH(A4)</f>
        <v>2</v>
      </c>
      <c r="D4" s="88">
        <v>7477521.3800000027</v>
      </c>
      <c r="E4" s="88">
        <v>9467.620679902544</v>
      </c>
      <c r="F4" s="88">
        <v>7486989.0006799055</v>
      </c>
      <c r="G4" s="78">
        <v>542.20000000000016</v>
      </c>
      <c r="H4" s="78">
        <v>0</v>
      </c>
      <c r="I4" s="30">
        <v>0</v>
      </c>
      <c r="J4" s="30">
        <v>2302</v>
      </c>
      <c r="K4" s="30">
        <v>2</v>
      </c>
      <c r="L4" s="81">
        <v>0</v>
      </c>
      <c r="M4" s="30">
        <f t="shared" ref="M4:M67" si="5">$R$19+G4*$R$20+H4*$R$21+I4*$R$22+J4*$R$23+K4*$R$24+L4*$R$25</f>
        <v>7652985.9499254115</v>
      </c>
      <c r="N4" s="30">
        <f t="shared" si="0"/>
        <v>7643518.3292455086</v>
      </c>
      <c r="O4" s="31">
        <f t="shared" si="1"/>
        <v>165996.94924550597</v>
      </c>
      <c r="P4" s="48">
        <f t="shared" si="2"/>
        <v>2.2171389490545736E-2</v>
      </c>
      <c r="AA4" s="79"/>
      <c r="AC4"/>
      <c r="AD4" s="37"/>
      <c r="AE4" s="49"/>
      <c r="AF4" s="70"/>
      <c r="AG4" s="70"/>
      <c r="AH4" s="70"/>
      <c r="AI4" s="98"/>
      <c r="AJ4" s="107"/>
      <c r="AK4" s="70"/>
      <c r="AL4" s="98"/>
      <c r="AM4" s="98"/>
      <c r="AN4" s="64"/>
      <c r="AO4" s="64"/>
      <c r="AP4" s="5"/>
    </row>
    <row r="5" spans="1:43" x14ac:dyDescent="0.2">
      <c r="A5" s="2">
        <v>40603</v>
      </c>
      <c r="B5">
        <f t="shared" si="3"/>
        <v>2011</v>
      </c>
      <c r="C5">
        <f t="shared" si="4"/>
        <v>3</v>
      </c>
      <c r="D5" s="88">
        <v>7152568.5900000026</v>
      </c>
      <c r="E5" s="88">
        <v>9467.620679902544</v>
      </c>
      <c r="F5" s="88">
        <v>7162036.2106799055</v>
      </c>
      <c r="G5" s="78">
        <v>448.8</v>
      </c>
      <c r="H5" s="78">
        <v>0</v>
      </c>
      <c r="I5" s="30">
        <v>0</v>
      </c>
      <c r="J5" s="30">
        <v>2305</v>
      </c>
      <c r="K5" s="30">
        <v>3</v>
      </c>
      <c r="L5" s="81">
        <v>0</v>
      </c>
      <c r="M5" s="30">
        <f t="shared" si="5"/>
        <v>7334307.1557414373</v>
      </c>
      <c r="N5" s="30">
        <f t="shared" si="0"/>
        <v>7324839.5350615345</v>
      </c>
      <c r="O5" s="31">
        <f t="shared" si="1"/>
        <v>172270.94506153185</v>
      </c>
      <c r="P5" s="48">
        <f t="shared" si="2"/>
        <v>2.4053347399255586E-2</v>
      </c>
      <c r="AC5"/>
      <c r="AD5" s="49"/>
      <c r="AE5" s="49"/>
      <c r="AF5" s="70"/>
      <c r="AG5" s="70"/>
      <c r="AH5" s="70"/>
      <c r="AI5" s="98"/>
      <c r="AJ5" s="107"/>
      <c r="AK5" s="70"/>
      <c r="AL5" s="98"/>
      <c r="AM5" s="98"/>
      <c r="AN5" s="63"/>
      <c r="AO5" s="64"/>
      <c r="AP5" s="5"/>
    </row>
    <row r="6" spans="1:43" ht="12.75" customHeight="1" x14ac:dyDescent="0.2">
      <c r="A6" s="2">
        <v>40634</v>
      </c>
      <c r="B6">
        <f t="shared" si="3"/>
        <v>2011</v>
      </c>
      <c r="C6">
        <f t="shared" si="4"/>
        <v>4</v>
      </c>
      <c r="D6" s="88">
        <v>6467080.2400000058</v>
      </c>
      <c r="E6" s="88">
        <v>9467.620679902544</v>
      </c>
      <c r="F6" s="88">
        <v>6476547.8606799087</v>
      </c>
      <c r="G6" s="78">
        <v>213.6</v>
      </c>
      <c r="H6" s="78">
        <v>1.3000000000000007</v>
      </c>
      <c r="I6" s="30">
        <v>0</v>
      </c>
      <c r="J6" s="30">
        <v>2308</v>
      </c>
      <c r="K6" s="30">
        <v>4</v>
      </c>
      <c r="L6" s="81">
        <v>0</v>
      </c>
      <c r="M6" s="30">
        <f t="shared" si="5"/>
        <v>6534292.4946584199</v>
      </c>
      <c r="N6" s="30">
        <f t="shared" si="0"/>
        <v>6524824.873978517</v>
      </c>
      <c r="O6" s="31">
        <f t="shared" si="1"/>
        <v>57744.633978511207</v>
      </c>
      <c r="P6" s="48">
        <f t="shared" si="2"/>
        <v>8.9159588133498596E-3</v>
      </c>
      <c r="AC6"/>
      <c r="AE6" s="70"/>
      <c r="AF6" s="65"/>
      <c r="AH6" s="37"/>
      <c r="AJ6" s="108"/>
      <c r="AK6" s="108"/>
      <c r="AL6" s="5"/>
      <c r="AM6" s="5"/>
      <c r="AN6" s="5"/>
      <c r="AO6" s="5"/>
      <c r="AP6" s="5"/>
      <c r="AQ6" s="27"/>
    </row>
    <row r="7" spans="1:43" x14ac:dyDescent="0.2">
      <c r="A7" s="2">
        <v>40664</v>
      </c>
      <c r="B7">
        <f t="shared" si="3"/>
        <v>2011</v>
      </c>
      <c r="C7">
        <f t="shared" si="4"/>
        <v>5</v>
      </c>
      <c r="D7" s="88">
        <v>6394046.8700000048</v>
      </c>
      <c r="E7" s="88">
        <v>9467.620679902544</v>
      </c>
      <c r="F7" s="88">
        <v>6403514.4906799076</v>
      </c>
      <c r="G7" s="78">
        <v>50.8</v>
      </c>
      <c r="H7" s="78">
        <v>53.7</v>
      </c>
      <c r="I7" s="30">
        <v>0</v>
      </c>
      <c r="J7" s="30">
        <v>2306</v>
      </c>
      <c r="K7" s="30">
        <v>5</v>
      </c>
      <c r="L7" s="81">
        <v>0</v>
      </c>
      <c r="M7" s="30">
        <f t="shared" si="5"/>
        <v>6211550.542533882</v>
      </c>
      <c r="N7" s="30">
        <f t="shared" si="0"/>
        <v>6202082.9218539791</v>
      </c>
      <c r="O7" s="31">
        <f t="shared" si="1"/>
        <v>-191963.94814602565</v>
      </c>
      <c r="P7" s="48">
        <f t="shared" si="2"/>
        <v>2.9977904856063414E-2</v>
      </c>
      <c r="AC7"/>
      <c r="AE7" s="70"/>
      <c r="AF7" s="65"/>
      <c r="AG7" s="37"/>
      <c r="AH7" s="37"/>
      <c r="AJ7" s="108"/>
      <c r="AK7" s="108"/>
      <c r="AL7" s="5"/>
      <c r="AM7" s="5"/>
      <c r="AN7" s="5"/>
      <c r="AO7" s="5"/>
      <c r="AP7" s="5"/>
      <c r="AQ7" s="27"/>
    </row>
    <row r="8" spans="1:43" x14ac:dyDescent="0.2">
      <c r="A8" s="2">
        <v>40695</v>
      </c>
      <c r="B8">
        <f t="shared" si="3"/>
        <v>2011</v>
      </c>
      <c r="C8">
        <f t="shared" si="4"/>
        <v>6</v>
      </c>
      <c r="D8" s="88">
        <v>6868428.5200000014</v>
      </c>
      <c r="E8" s="88">
        <v>9467.620679902544</v>
      </c>
      <c r="F8" s="88">
        <v>6877896.1406799043</v>
      </c>
      <c r="G8" s="78">
        <v>0</v>
      </c>
      <c r="H8" s="78">
        <v>153.20000000000002</v>
      </c>
      <c r="I8" s="30">
        <v>0</v>
      </c>
      <c r="J8" s="30">
        <v>2316</v>
      </c>
      <c r="K8" s="30">
        <v>6</v>
      </c>
      <c r="L8" s="81">
        <v>0</v>
      </c>
      <c r="M8" s="30">
        <f t="shared" si="5"/>
        <v>6569067.3245740877</v>
      </c>
      <c r="N8" s="30">
        <f t="shared" si="0"/>
        <v>6559599.7038941849</v>
      </c>
      <c r="O8" s="31">
        <f t="shared" si="1"/>
        <v>-308828.81610581651</v>
      </c>
      <c r="P8" s="48">
        <f t="shared" si="2"/>
        <v>4.4901639947602885E-2</v>
      </c>
      <c r="AC8"/>
      <c r="AE8" s="70"/>
      <c r="AF8" s="65"/>
      <c r="AG8" s="37"/>
      <c r="AH8" s="37"/>
      <c r="AJ8" s="108"/>
      <c r="AK8" s="108"/>
      <c r="AL8" s="5"/>
      <c r="AM8" s="5"/>
      <c r="AN8" s="5"/>
      <c r="AO8" s="5"/>
      <c r="AP8" s="5"/>
      <c r="AQ8" s="27"/>
    </row>
    <row r="9" spans="1:43" x14ac:dyDescent="0.2">
      <c r="A9" s="2">
        <v>40725</v>
      </c>
      <c r="B9">
        <f t="shared" si="3"/>
        <v>2011</v>
      </c>
      <c r="C9">
        <f t="shared" si="4"/>
        <v>7</v>
      </c>
      <c r="D9" s="88">
        <v>7225446.5600000024</v>
      </c>
      <c r="E9" s="88">
        <v>9467.620679902544</v>
      </c>
      <c r="F9" s="88">
        <v>7234914.1806799052</v>
      </c>
      <c r="G9" s="78">
        <v>0</v>
      </c>
      <c r="H9" s="78">
        <v>322.29999999999995</v>
      </c>
      <c r="I9" s="30">
        <v>0</v>
      </c>
      <c r="J9" s="30">
        <v>2335</v>
      </c>
      <c r="K9" s="30">
        <v>7</v>
      </c>
      <c r="L9" s="81">
        <v>0</v>
      </c>
      <c r="M9" s="30">
        <f t="shared" si="5"/>
        <v>7492734.685663484</v>
      </c>
      <c r="N9" s="30">
        <f t="shared" si="0"/>
        <v>7483267.0649835812</v>
      </c>
      <c r="O9" s="31">
        <f t="shared" si="1"/>
        <v>257820.50498357881</v>
      </c>
      <c r="P9" s="48">
        <f t="shared" si="2"/>
        <v>3.5635599613892031E-2</v>
      </c>
      <c r="AC9"/>
      <c r="AE9" s="70"/>
      <c r="AF9" s="65"/>
      <c r="AG9" s="37"/>
      <c r="AH9" s="37"/>
      <c r="AJ9" s="108"/>
      <c r="AK9" s="108"/>
      <c r="AL9" s="5"/>
      <c r="AM9" s="5"/>
      <c r="AN9" s="5"/>
      <c r="AO9" s="5"/>
      <c r="AP9" s="5"/>
      <c r="AQ9" s="27"/>
    </row>
    <row r="10" spans="1:43" x14ac:dyDescent="0.2">
      <c r="A10" s="2">
        <v>40756</v>
      </c>
      <c r="B10">
        <f t="shared" si="3"/>
        <v>2011</v>
      </c>
      <c r="C10">
        <f t="shared" si="4"/>
        <v>8</v>
      </c>
      <c r="D10" s="88">
        <v>7335384.9100000048</v>
      </c>
      <c r="E10" s="88">
        <v>9467.620679902544</v>
      </c>
      <c r="F10" s="88">
        <v>7344852.5306799076</v>
      </c>
      <c r="G10" s="78">
        <v>0</v>
      </c>
      <c r="H10" s="78">
        <v>246.19999999999996</v>
      </c>
      <c r="I10" s="30">
        <v>0</v>
      </c>
      <c r="J10" s="30">
        <v>2354</v>
      </c>
      <c r="K10" s="30">
        <v>8</v>
      </c>
      <c r="L10" s="81">
        <v>0</v>
      </c>
      <c r="M10" s="30">
        <f t="shared" si="5"/>
        <v>7199065.097219795</v>
      </c>
      <c r="N10" s="30">
        <f t="shared" si="0"/>
        <v>7189597.4765398921</v>
      </c>
      <c r="O10" s="31">
        <f t="shared" si="1"/>
        <v>-145787.43346011266</v>
      </c>
      <c r="P10" s="48">
        <f t="shared" si="2"/>
        <v>1.984892587715675E-2</v>
      </c>
      <c r="AC10"/>
      <c r="AE10" s="70"/>
      <c r="AF10" s="65"/>
      <c r="AG10" s="37"/>
      <c r="AH10" s="37"/>
      <c r="AJ10" s="108"/>
      <c r="AK10" s="108"/>
      <c r="AL10" s="5"/>
      <c r="AM10" s="5"/>
      <c r="AN10" s="5"/>
      <c r="AO10" s="5"/>
      <c r="AP10" s="5"/>
      <c r="AQ10" s="27"/>
    </row>
    <row r="11" spans="1:43" x14ac:dyDescent="0.2">
      <c r="A11" s="2">
        <v>40787</v>
      </c>
      <c r="B11">
        <f t="shared" si="3"/>
        <v>2011</v>
      </c>
      <c r="C11">
        <f t="shared" si="4"/>
        <v>9</v>
      </c>
      <c r="D11" s="88">
        <v>6365381.4099999992</v>
      </c>
      <c r="E11" s="88">
        <v>9467.620679902544</v>
      </c>
      <c r="F11" s="88">
        <v>6374849.0306799021</v>
      </c>
      <c r="G11" s="78">
        <v>9</v>
      </c>
      <c r="H11" s="78">
        <v>120.3</v>
      </c>
      <c r="I11" s="30">
        <v>1</v>
      </c>
      <c r="J11" s="30">
        <v>2360</v>
      </c>
      <c r="K11" s="30">
        <v>9</v>
      </c>
      <c r="L11" s="81">
        <v>0</v>
      </c>
      <c r="M11" s="30">
        <f t="shared" si="5"/>
        <v>6335847.1522482643</v>
      </c>
      <c r="N11" s="30">
        <f t="shared" si="0"/>
        <v>6326379.5315683614</v>
      </c>
      <c r="O11" s="31">
        <f t="shared" si="1"/>
        <v>-39001.878431637771</v>
      </c>
      <c r="P11" s="48">
        <f t="shared" si="2"/>
        <v>6.1180866000018937E-3</v>
      </c>
      <c r="AC11"/>
      <c r="AE11" s="70"/>
      <c r="AF11" s="65"/>
      <c r="AG11" s="37"/>
      <c r="AH11" s="37"/>
      <c r="AJ11" s="108"/>
      <c r="AK11" s="108"/>
      <c r="AL11" s="5"/>
      <c r="AM11" s="5"/>
      <c r="AN11" s="5"/>
      <c r="AO11" s="5"/>
      <c r="AP11" s="5"/>
      <c r="AQ11" s="27"/>
    </row>
    <row r="12" spans="1:43" ht="13.5" customHeight="1" x14ac:dyDescent="0.2">
      <c r="A12" s="2">
        <v>40817</v>
      </c>
      <c r="B12">
        <f t="shared" si="3"/>
        <v>2011</v>
      </c>
      <c r="C12">
        <f t="shared" si="4"/>
        <v>10</v>
      </c>
      <c r="D12" s="88">
        <v>6187538.6099999947</v>
      </c>
      <c r="E12" s="88">
        <v>9467.620679902544</v>
      </c>
      <c r="F12" s="88">
        <v>6197006.2306798976</v>
      </c>
      <c r="G12" s="78">
        <v>131.60000000000002</v>
      </c>
      <c r="H12" s="78">
        <v>22.599999999999994</v>
      </c>
      <c r="I12" s="30">
        <v>1</v>
      </c>
      <c r="J12" s="30">
        <v>2364</v>
      </c>
      <c r="K12" s="30">
        <v>10</v>
      </c>
      <c r="L12" s="81">
        <v>0</v>
      </c>
      <c r="M12" s="30">
        <f t="shared" si="5"/>
        <v>6280252.3797737099</v>
      </c>
      <c r="N12" s="30">
        <f t="shared" si="0"/>
        <v>6270784.7590938071</v>
      </c>
      <c r="O12" s="31">
        <f t="shared" si="1"/>
        <v>83246.149093812332</v>
      </c>
      <c r="P12" s="48">
        <f t="shared" si="2"/>
        <v>1.3433284717656169E-2</v>
      </c>
      <c r="AC12"/>
      <c r="AE12" s="70"/>
      <c r="AF12" s="65"/>
      <c r="AG12" s="37"/>
      <c r="AH12" s="37"/>
      <c r="AJ12" s="108"/>
      <c r="AK12" s="108"/>
      <c r="AL12" s="5"/>
      <c r="AM12" s="5"/>
      <c r="AN12" s="5"/>
      <c r="AO12" s="5"/>
      <c r="AP12" s="5"/>
      <c r="AQ12" s="27"/>
    </row>
    <row r="13" spans="1:43" x14ac:dyDescent="0.2">
      <c r="A13" s="2">
        <v>40848</v>
      </c>
      <c r="B13">
        <f t="shared" si="3"/>
        <v>2011</v>
      </c>
      <c r="C13">
        <f t="shared" si="4"/>
        <v>11</v>
      </c>
      <c r="D13" s="88">
        <v>6503187.4399999985</v>
      </c>
      <c r="E13" s="88">
        <v>9467.620679902544</v>
      </c>
      <c r="F13" s="88">
        <v>6512655.0606799014</v>
      </c>
      <c r="G13" s="78">
        <v>221.90000000000003</v>
      </c>
      <c r="H13" s="78">
        <v>0</v>
      </c>
      <c r="I13" s="30">
        <v>1</v>
      </c>
      <c r="J13" s="30">
        <v>2368</v>
      </c>
      <c r="K13" s="30">
        <v>11</v>
      </c>
      <c r="L13" s="81">
        <v>0</v>
      </c>
      <c r="M13" s="30">
        <f t="shared" si="5"/>
        <v>6486392.7529938724</v>
      </c>
      <c r="N13" s="30">
        <f t="shared" si="0"/>
        <v>6476925.1323139695</v>
      </c>
      <c r="O13" s="31">
        <f t="shared" si="1"/>
        <v>-26262.307686029002</v>
      </c>
      <c r="P13" s="48">
        <f t="shared" si="2"/>
        <v>4.0325040158486905E-3</v>
      </c>
      <c r="Q13" s="86"/>
      <c r="R13" s="86"/>
      <c r="S13" s="86"/>
      <c r="T13" s="86"/>
      <c r="U13" s="86"/>
      <c r="V13" s="86"/>
      <c r="AC13"/>
      <c r="AE13" s="70"/>
      <c r="AF13" s="65"/>
      <c r="AG13" s="37"/>
      <c r="AH13" s="37"/>
      <c r="AJ13" s="108"/>
      <c r="AK13" s="108"/>
      <c r="AL13" s="5"/>
      <c r="AM13" s="5"/>
      <c r="AN13" s="5"/>
      <c r="AO13" s="5"/>
      <c r="AP13" s="5"/>
      <c r="AQ13" s="27"/>
    </row>
    <row r="14" spans="1:43" ht="13.5" customHeight="1" x14ac:dyDescent="0.2">
      <c r="A14" s="2">
        <v>40878</v>
      </c>
      <c r="B14">
        <f t="shared" si="3"/>
        <v>2011</v>
      </c>
      <c r="C14">
        <f t="shared" si="4"/>
        <v>12</v>
      </c>
      <c r="D14" s="88">
        <v>8506879.0700000003</v>
      </c>
      <c r="E14" s="88">
        <v>9467.620679902544</v>
      </c>
      <c r="F14" s="88">
        <v>8516346.6906799022</v>
      </c>
      <c r="G14" s="78">
        <v>410</v>
      </c>
      <c r="H14" s="78">
        <v>0</v>
      </c>
      <c r="I14" s="30">
        <v>0</v>
      </c>
      <c r="J14" s="30">
        <v>2374</v>
      </c>
      <c r="K14" s="30">
        <v>12</v>
      </c>
      <c r="L14" s="81">
        <v>0</v>
      </c>
      <c r="M14" s="30">
        <f t="shared" si="5"/>
        <v>7438383.8570625065</v>
      </c>
      <c r="N14" s="30">
        <f t="shared" si="0"/>
        <v>7428916.2363826036</v>
      </c>
      <c r="O14" s="31">
        <f t="shared" si="1"/>
        <v>-1077962.8336173957</v>
      </c>
      <c r="P14" s="48">
        <f t="shared" si="2"/>
        <v>0.12657573402889927</v>
      </c>
      <c r="Q14" t="s">
        <v>86</v>
      </c>
      <c r="AC14"/>
      <c r="AE14" s="70"/>
      <c r="AF14" s="65"/>
      <c r="AG14" s="37"/>
      <c r="AH14" s="37"/>
      <c r="AJ14" s="108"/>
      <c r="AK14" s="108"/>
      <c r="AL14" s="5"/>
      <c r="AM14" s="5"/>
      <c r="AN14" s="5"/>
      <c r="AO14" s="5"/>
      <c r="AP14" s="5"/>
      <c r="AQ14" s="27"/>
    </row>
    <row r="15" spans="1:43" x14ac:dyDescent="0.2">
      <c r="A15" s="2">
        <v>40909</v>
      </c>
      <c r="B15">
        <f t="shared" si="3"/>
        <v>2012</v>
      </c>
      <c r="C15">
        <f t="shared" si="4"/>
        <v>1</v>
      </c>
      <c r="D15" s="88">
        <v>6542070.0699999975</v>
      </c>
      <c r="E15" s="88">
        <v>32139.174490377161</v>
      </c>
      <c r="F15" s="88">
        <v>6574209.2444903748</v>
      </c>
      <c r="G15" s="78">
        <v>487.1</v>
      </c>
      <c r="H15" s="78">
        <v>0</v>
      </c>
      <c r="I15" s="30">
        <v>0</v>
      </c>
      <c r="J15" s="30">
        <v>2381</v>
      </c>
      <c r="K15" s="30">
        <v>13</v>
      </c>
      <c r="L15" s="81">
        <v>0</v>
      </c>
      <c r="M15" s="30">
        <f t="shared" si="5"/>
        <v>7726604.0599881746</v>
      </c>
      <c r="N15" s="30">
        <f t="shared" si="0"/>
        <v>7694464.8854977973</v>
      </c>
      <c r="O15" s="31">
        <f t="shared" si="1"/>
        <v>1152394.8154977998</v>
      </c>
      <c r="P15" s="48">
        <f t="shared" si="2"/>
        <v>0.17529025509244073</v>
      </c>
      <c r="Q15" t="s">
        <v>87</v>
      </c>
      <c r="AC15"/>
      <c r="AE15" s="70"/>
      <c r="AF15" s="65"/>
      <c r="AG15" s="37"/>
      <c r="AH15" s="37"/>
      <c r="AJ15" s="108"/>
      <c r="AK15" s="108"/>
      <c r="AL15" s="5"/>
      <c r="AM15" s="5"/>
      <c r="AN15" s="5"/>
      <c r="AO15" s="5"/>
      <c r="AP15" s="5"/>
      <c r="AQ15" s="27"/>
    </row>
    <row r="16" spans="1:43" x14ac:dyDescent="0.2">
      <c r="A16" s="2">
        <v>40940</v>
      </c>
      <c r="B16">
        <f t="shared" si="3"/>
        <v>2012</v>
      </c>
      <c r="C16">
        <f t="shared" si="4"/>
        <v>2</v>
      </c>
      <c r="D16" s="88">
        <v>7307980.3799999999</v>
      </c>
      <c r="E16" s="88">
        <v>32139.174490377161</v>
      </c>
      <c r="F16" s="88">
        <v>7340119.5544903772</v>
      </c>
      <c r="G16" s="78">
        <v>415.70000000000005</v>
      </c>
      <c r="H16" s="78">
        <v>0</v>
      </c>
      <c r="I16" s="30">
        <v>0</v>
      </c>
      <c r="J16" s="30">
        <v>2385</v>
      </c>
      <c r="K16" s="30">
        <v>14</v>
      </c>
      <c r="L16" s="81">
        <v>0</v>
      </c>
      <c r="M16" s="30">
        <f t="shared" si="5"/>
        <v>7488700.3151206523</v>
      </c>
      <c r="N16" s="30">
        <f t="shared" si="0"/>
        <v>7456561.140630275</v>
      </c>
      <c r="O16" s="31">
        <f t="shared" si="1"/>
        <v>148580.76063027512</v>
      </c>
      <c r="P16" s="48">
        <f t="shared" si="2"/>
        <v>2.0242280732250425E-2</v>
      </c>
      <c r="Q16" t="s">
        <v>88</v>
      </c>
      <c r="AC16"/>
      <c r="AE16" s="70"/>
      <c r="AF16" s="65"/>
      <c r="AG16" s="37"/>
      <c r="AH16" s="37"/>
      <c r="AJ16" s="108"/>
      <c r="AK16" s="108"/>
      <c r="AL16" s="5"/>
      <c r="AM16" s="5"/>
      <c r="AN16" s="5"/>
      <c r="AO16" s="5"/>
      <c r="AP16" s="33"/>
      <c r="AQ16" s="27"/>
    </row>
    <row r="17" spans="1:44" x14ac:dyDescent="0.2">
      <c r="A17" s="2">
        <v>40969</v>
      </c>
      <c r="B17">
        <f t="shared" si="3"/>
        <v>2012</v>
      </c>
      <c r="C17">
        <f t="shared" si="4"/>
        <v>3</v>
      </c>
      <c r="D17" s="88">
        <v>6926363.8199999947</v>
      </c>
      <c r="E17" s="88">
        <v>32139.174490377161</v>
      </c>
      <c r="F17" s="88">
        <v>6958502.994490372</v>
      </c>
      <c r="G17" s="78">
        <v>236.3</v>
      </c>
      <c r="H17" s="78">
        <v>11.1</v>
      </c>
      <c r="I17" s="30">
        <v>0</v>
      </c>
      <c r="J17" s="30">
        <v>2391</v>
      </c>
      <c r="K17" s="30">
        <v>15</v>
      </c>
      <c r="L17" s="81">
        <v>0</v>
      </c>
      <c r="M17" s="30">
        <f t="shared" si="5"/>
        <v>6944576.7109956425</v>
      </c>
      <c r="N17" s="30">
        <f t="shared" si="0"/>
        <v>6912437.5365052652</v>
      </c>
      <c r="O17" s="31">
        <f t="shared" si="1"/>
        <v>-13926.283494729549</v>
      </c>
      <c r="P17" s="48">
        <f t="shared" si="2"/>
        <v>2.0013332617311729E-3</v>
      </c>
      <c r="AC17"/>
      <c r="AE17" s="70"/>
      <c r="AF17" s="65"/>
      <c r="AG17" s="37"/>
      <c r="AH17" s="37"/>
      <c r="AJ17" s="108"/>
      <c r="AK17" s="108"/>
      <c r="AL17" s="5"/>
      <c r="AM17" s="5"/>
      <c r="AN17" s="5"/>
      <c r="AO17" s="5"/>
      <c r="AP17" s="5"/>
      <c r="AQ17" s="27"/>
    </row>
    <row r="18" spans="1:44" x14ac:dyDescent="0.2">
      <c r="A18" s="2">
        <v>41000</v>
      </c>
      <c r="B18">
        <f t="shared" si="3"/>
        <v>2012</v>
      </c>
      <c r="C18">
        <f t="shared" si="4"/>
        <v>4</v>
      </c>
      <c r="D18" s="88">
        <v>6496796.9000000078</v>
      </c>
      <c r="E18" s="88">
        <v>32139.174490377161</v>
      </c>
      <c r="F18" s="88">
        <v>6528936.0744903851</v>
      </c>
      <c r="G18" s="78">
        <v>206.9</v>
      </c>
      <c r="H18" s="78">
        <v>5.1999999999999975</v>
      </c>
      <c r="I18" s="30">
        <v>0</v>
      </c>
      <c r="J18" s="30">
        <v>2398</v>
      </c>
      <c r="K18" s="30">
        <v>16</v>
      </c>
      <c r="L18" s="81">
        <v>0</v>
      </c>
      <c r="M18" s="30">
        <f t="shared" si="5"/>
        <v>6837146.9134493563</v>
      </c>
      <c r="N18" s="30">
        <f t="shared" si="0"/>
        <v>6805007.738958979</v>
      </c>
      <c r="O18" s="31">
        <f t="shared" si="1"/>
        <v>308210.8389589712</v>
      </c>
      <c r="P18" s="48">
        <f t="shared" si="2"/>
        <v>4.7206901008450833E-2</v>
      </c>
      <c r="Q18" s="86"/>
      <c r="R18" s="86" t="s">
        <v>19</v>
      </c>
      <c r="S18" s="86" t="s">
        <v>20</v>
      </c>
      <c r="T18" t="s">
        <v>21</v>
      </c>
      <c r="U18" t="s">
        <v>22</v>
      </c>
      <c r="V18" s="86"/>
      <c r="W18" s="86"/>
      <c r="X18" s="86"/>
      <c r="Y18" s="86"/>
      <c r="AC18"/>
      <c r="AD18" s="49"/>
      <c r="AE18" s="65"/>
      <c r="AF18" s="66"/>
      <c r="AG18" s="37"/>
      <c r="AJ18" s="57"/>
      <c r="AK18" s="67"/>
      <c r="AL18" s="67"/>
      <c r="AM18" s="67"/>
      <c r="AN18" s="5"/>
      <c r="AO18" s="5"/>
      <c r="AQ18" s="27"/>
    </row>
    <row r="19" spans="1:44" x14ac:dyDescent="0.2">
      <c r="A19" s="2">
        <v>41030</v>
      </c>
      <c r="B19">
        <f t="shared" si="3"/>
        <v>2012</v>
      </c>
      <c r="C19">
        <f t="shared" si="4"/>
        <v>5</v>
      </c>
      <c r="D19" s="88">
        <v>6393894.2299999967</v>
      </c>
      <c r="E19" s="88">
        <v>32139.174490377161</v>
      </c>
      <c r="F19" s="88">
        <v>6426033.404490374</v>
      </c>
      <c r="G19" s="78">
        <v>21.499999999999996</v>
      </c>
      <c r="H19" s="78">
        <v>101.5</v>
      </c>
      <c r="I19" s="30">
        <v>0</v>
      </c>
      <c r="J19" s="30">
        <v>2400</v>
      </c>
      <c r="K19" s="30">
        <v>17</v>
      </c>
      <c r="L19" s="81">
        <v>0</v>
      </c>
      <c r="M19" s="30">
        <f t="shared" si="5"/>
        <v>6674991.7564526349</v>
      </c>
      <c r="N19" s="30">
        <f t="shared" si="0"/>
        <v>6642852.5819622576</v>
      </c>
      <c r="O19" s="31">
        <f t="shared" si="1"/>
        <v>248958.3519622609</v>
      </c>
      <c r="P19" s="48">
        <f t="shared" si="2"/>
        <v>3.8742150295747631E-2</v>
      </c>
      <c r="Q19" t="s">
        <v>23</v>
      </c>
      <c r="R19">
        <v>-5916373.9028787296</v>
      </c>
      <c r="S19">
        <v>2782065.71442588</v>
      </c>
      <c r="T19">
        <v>-2.1266118453638501</v>
      </c>
      <c r="U19" s="79">
        <v>3.54180658453924E-2</v>
      </c>
      <c r="AA19" s="79"/>
      <c r="AC19"/>
      <c r="AD19" s="70"/>
      <c r="AE19" s="65"/>
      <c r="AF19" s="49"/>
      <c r="AG19" s="73"/>
      <c r="AH19" s="73"/>
      <c r="AI19" s="1"/>
      <c r="AL19" s="5"/>
      <c r="AM19" s="5"/>
      <c r="AN19" s="5"/>
      <c r="AO19" s="5"/>
    </row>
    <row r="20" spans="1:44" ht="16.5" customHeight="1" x14ac:dyDescent="0.2">
      <c r="A20" s="2">
        <v>41061</v>
      </c>
      <c r="B20">
        <f t="shared" si="3"/>
        <v>2012</v>
      </c>
      <c r="C20">
        <f t="shared" si="4"/>
        <v>6</v>
      </c>
      <c r="D20" s="88">
        <v>6938947.9299999932</v>
      </c>
      <c r="E20" s="88">
        <v>32139.174490377161</v>
      </c>
      <c r="F20" s="88">
        <v>6971087.1044903705</v>
      </c>
      <c r="G20" s="78">
        <v>1.0999999999999996</v>
      </c>
      <c r="H20" s="78">
        <v>199.5</v>
      </c>
      <c r="I20" s="30">
        <v>0</v>
      </c>
      <c r="J20" s="30">
        <v>2403</v>
      </c>
      <c r="K20" s="30">
        <v>18</v>
      </c>
      <c r="L20" s="81">
        <v>0</v>
      </c>
      <c r="M20" s="30">
        <f t="shared" si="5"/>
        <v>7093969.5065693995</v>
      </c>
      <c r="N20" s="30">
        <f t="shared" si="0"/>
        <v>7061830.3320790222</v>
      </c>
      <c r="O20" s="31">
        <f t="shared" si="1"/>
        <v>122882.40207902901</v>
      </c>
      <c r="P20" s="48">
        <f t="shared" si="2"/>
        <v>1.7627437476699336E-2</v>
      </c>
      <c r="Q20" t="s">
        <v>15</v>
      </c>
      <c r="R20">
        <v>3439.9854526525301</v>
      </c>
      <c r="S20">
        <v>284.78100360020699</v>
      </c>
      <c r="T20">
        <v>12.0794063127953</v>
      </c>
      <c r="U20" s="79">
        <v>9.7545551048802706E-23</v>
      </c>
      <c r="AA20" s="79"/>
      <c r="AC20"/>
      <c r="AD20" s="70"/>
      <c r="AE20" s="111"/>
      <c r="AF20" s="111"/>
      <c r="AG20" s="37"/>
      <c r="AI20" s="1"/>
      <c r="AL20" s="5"/>
      <c r="AM20" s="5"/>
      <c r="AN20" s="5"/>
      <c r="AO20" s="5"/>
    </row>
    <row r="21" spans="1:44" x14ac:dyDescent="0.2">
      <c r="A21" s="2">
        <v>41091</v>
      </c>
      <c r="B21">
        <f t="shared" si="3"/>
        <v>2012</v>
      </c>
      <c r="C21">
        <f t="shared" si="4"/>
        <v>7</v>
      </c>
      <c r="D21" s="88">
        <v>7684381.6799999978</v>
      </c>
      <c r="E21" s="88">
        <v>32139.174490377161</v>
      </c>
      <c r="F21" s="88">
        <v>7716520.8544903751</v>
      </c>
      <c r="G21" s="78">
        <v>0</v>
      </c>
      <c r="H21" s="78">
        <v>319.39999999999998</v>
      </c>
      <c r="I21" s="30">
        <v>0</v>
      </c>
      <c r="J21" s="30">
        <v>2401</v>
      </c>
      <c r="K21" s="30">
        <v>19</v>
      </c>
      <c r="L21" s="81">
        <v>0</v>
      </c>
      <c r="M21" s="30">
        <f t="shared" si="5"/>
        <v>7662588.390121989</v>
      </c>
      <c r="N21" s="30">
        <f t="shared" si="0"/>
        <v>7630449.2156316116</v>
      </c>
      <c r="O21" s="31">
        <f t="shared" si="1"/>
        <v>-53932.464368386194</v>
      </c>
      <c r="P21" s="48">
        <f t="shared" si="2"/>
        <v>6.9892203216170888E-3</v>
      </c>
      <c r="Q21" t="s">
        <v>16</v>
      </c>
      <c r="R21">
        <v>4964.6694516031102</v>
      </c>
      <c r="S21">
        <v>609.08805613857805</v>
      </c>
      <c r="T21">
        <v>8.1509880247488606</v>
      </c>
      <c r="U21" s="79">
        <v>3.2080165827579198E-13</v>
      </c>
      <c r="AA21" s="79"/>
      <c r="AC21"/>
      <c r="AD21" s="49"/>
      <c r="AE21" s="65"/>
      <c r="AF21" s="49"/>
      <c r="AG21" s="37"/>
      <c r="AI21" s="1"/>
      <c r="AL21" s="5"/>
      <c r="AM21" s="5"/>
      <c r="AN21" s="5"/>
      <c r="AO21" s="5"/>
    </row>
    <row r="22" spans="1:44" x14ac:dyDescent="0.2">
      <c r="A22" s="2">
        <v>41122</v>
      </c>
      <c r="B22">
        <f t="shared" si="3"/>
        <v>2012</v>
      </c>
      <c r="C22">
        <f t="shared" si="4"/>
        <v>8</v>
      </c>
      <c r="D22" s="88">
        <v>7811739.2400000021</v>
      </c>
      <c r="E22" s="88">
        <v>32139.174490377161</v>
      </c>
      <c r="F22" s="88">
        <v>7843878.4144903794</v>
      </c>
      <c r="G22" s="78">
        <v>0</v>
      </c>
      <c r="H22" s="78">
        <v>234.09999999999997</v>
      </c>
      <c r="I22" s="30">
        <v>0</v>
      </c>
      <c r="J22" s="30">
        <v>2402</v>
      </c>
      <c r="K22" s="30">
        <v>20</v>
      </c>
      <c r="L22" s="81">
        <v>0</v>
      </c>
      <c r="M22" s="30">
        <f t="shared" si="5"/>
        <v>7231527.194277823</v>
      </c>
      <c r="N22" s="30">
        <f t="shared" si="0"/>
        <v>7199388.0197874457</v>
      </c>
      <c r="O22" s="31">
        <f t="shared" si="1"/>
        <v>-612351.22021255642</v>
      </c>
      <c r="P22" s="48">
        <f t="shared" si="2"/>
        <v>7.806740337552022E-2</v>
      </c>
      <c r="Q22" t="s">
        <v>10</v>
      </c>
      <c r="R22">
        <v>-287027.88525663299</v>
      </c>
      <c r="S22">
        <v>97597.718799890194</v>
      </c>
      <c r="T22">
        <v>-2.9409282182623699</v>
      </c>
      <c r="U22">
        <v>3.9000816786556101E-3</v>
      </c>
      <c r="AC22"/>
      <c r="AD22" s="49"/>
      <c r="AE22" s="65"/>
      <c r="AF22" s="49"/>
      <c r="AG22" s="37"/>
      <c r="AI22" s="68"/>
      <c r="AJ22" s="68"/>
      <c r="AK22" s="68"/>
      <c r="AL22" s="68"/>
      <c r="AM22" s="68"/>
      <c r="AN22" s="68"/>
      <c r="AO22" s="5"/>
    </row>
    <row r="23" spans="1:44" x14ac:dyDescent="0.2">
      <c r="A23" s="2">
        <v>41153</v>
      </c>
      <c r="B23">
        <f t="shared" si="3"/>
        <v>2012</v>
      </c>
      <c r="C23">
        <f t="shared" si="4"/>
        <v>9</v>
      </c>
      <c r="D23" s="88">
        <v>6409326.7700000005</v>
      </c>
      <c r="E23" s="88">
        <v>32139.174490377161</v>
      </c>
      <c r="F23" s="88">
        <v>6441465.9444903778</v>
      </c>
      <c r="G23" s="78">
        <v>21.500000000000004</v>
      </c>
      <c r="H23" s="78">
        <v>92.09999999999998</v>
      </c>
      <c r="I23" s="30">
        <v>1</v>
      </c>
      <c r="J23" s="30">
        <v>2404</v>
      </c>
      <c r="K23" s="30">
        <v>21</v>
      </c>
      <c r="L23" s="81">
        <v>0</v>
      </c>
      <c r="M23" s="30">
        <f t="shared" si="5"/>
        <v>6310996.4118612548</v>
      </c>
      <c r="N23" s="30">
        <f t="shared" si="0"/>
        <v>6278857.2373708775</v>
      </c>
      <c r="O23" s="31">
        <f t="shared" si="1"/>
        <v>-130469.53262912296</v>
      </c>
      <c r="P23" s="48">
        <f t="shared" si="2"/>
        <v>2.0254633611890525E-2</v>
      </c>
      <c r="Q23" t="s">
        <v>6</v>
      </c>
      <c r="R23">
        <v>5095.3693580959898</v>
      </c>
      <c r="S23">
        <v>1194.4667212147699</v>
      </c>
      <c r="T23">
        <v>4.2658110666440399</v>
      </c>
      <c r="U23" s="79">
        <v>3.89573467034949E-5</v>
      </c>
      <c r="AA23" s="79"/>
      <c r="AC23"/>
      <c r="AD23" s="49"/>
      <c r="AE23" s="65"/>
      <c r="AF23" s="49"/>
      <c r="AG23" s="37"/>
      <c r="AI23" s="68"/>
      <c r="AJ23" s="68"/>
      <c r="AK23" s="68"/>
      <c r="AL23" s="68"/>
      <c r="AM23" s="68"/>
      <c r="AN23" s="68"/>
      <c r="AO23" s="5"/>
    </row>
    <row r="24" spans="1:44" x14ac:dyDescent="0.2">
      <c r="A24" s="2">
        <v>41183</v>
      </c>
      <c r="B24">
        <f t="shared" si="3"/>
        <v>2012</v>
      </c>
      <c r="C24">
        <f t="shared" si="4"/>
        <v>10</v>
      </c>
      <c r="D24" s="88">
        <v>6318161.7399999937</v>
      </c>
      <c r="E24" s="88">
        <v>32139.174490377161</v>
      </c>
      <c r="F24" s="88">
        <v>6350300.914490371</v>
      </c>
      <c r="G24" s="78">
        <v>130.50000000000003</v>
      </c>
      <c r="H24" s="78">
        <v>13.1</v>
      </c>
      <c r="I24" s="30">
        <v>1</v>
      </c>
      <c r="J24" s="30">
        <v>2413</v>
      </c>
      <c r="K24" s="30">
        <v>22</v>
      </c>
      <c r="L24" s="81">
        <v>0</v>
      </c>
      <c r="M24" s="30">
        <f t="shared" si="5"/>
        <v>6326934.0027660849</v>
      </c>
      <c r="N24" s="30">
        <f t="shared" si="0"/>
        <v>6294794.8282757076</v>
      </c>
      <c r="O24" s="31">
        <f t="shared" si="1"/>
        <v>-23366.911724286154</v>
      </c>
      <c r="P24" s="48">
        <f t="shared" si="2"/>
        <v>3.6796542461423518E-3</v>
      </c>
      <c r="Q24" t="s">
        <v>9</v>
      </c>
      <c r="R24">
        <v>-12670.260980515101</v>
      </c>
      <c r="S24">
        <v>4811.7199068321797</v>
      </c>
      <c r="T24">
        <v>-2.63320833835829</v>
      </c>
      <c r="U24" s="79">
        <v>9.5258154177304492E-3</v>
      </c>
      <c r="AA24" s="79"/>
      <c r="AC24"/>
      <c r="AD24" s="49"/>
      <c r="AE24" s="65"/>
      <c r="AF24" s="49"/>
      <c r="AG24" s="37"/>
      <c r="AI24" s="103"/>
      <c r="AJ24" s="103"/>
      <c r="AK24" s="103"/>
      <c r="AL24" s="63"/>
      <c r="AM24" s="63"/>
      <c r="AN24" s="63"/>
      <c r="AO24" s="5"/>
    </row>
    <row r="25" spans="1:44" x14ac:dyDescent="0.2">
      <c r="A25" s="2">
        <v>41214</v>
      </c>
      <c r="B25">
        <f t="shared" si="3"/>
        <v>2012</v>
      </c>
      <c r="C25">
        <f t="shared" si="4"/>
        <v>11</v>
      </c>
      <c r="D25" s="88">
        <v>6992291.2000000067</v>
      </c>
      <c r="E25" s="88">
        <v>32139.174490377161</v>
      </c>
      <c r="F25" s="88">
        <v>7024430.374490384</v>
      </c>
      <c r="G25" s="78">
        <v>313.99999999999994</v>
      </c>
      <c r="H25" s="78">
        <v>0</v>
      </c>
      <c r="I25" s="30">
        <v>1</v>
      </c>
      <c r="J25" s="30">
        <v>2417</v>
      </c>
      <c r="K25" s="30">
        <v>23</v>
      </c>
      <c r="L25" s="81">
        <v>0</v>
      </c>
      <c r="M25" s="30">
        <f t="shared" si="5"/>
        <v>6900845.3799636913</v>
      </c>
      <c r="N25" s="30">
        <f t="shared" si="0"/>
        <v>6868706.205473314</v>
      </c>
      <c r="O25" s="31">
        <f t="shared" si="1"/>
        <v>-123584.99452669267</v>
      </c>
      <c r="P25" s="48">
        <f t="shared" si="2"/>
        <v>1.7593596624645689E-2</v>
      </c>
      <c r="Q25" t="s">
        <v>12</v>
      </c>
      <c r="R25">
        <v>-677886.28139511496</v>
      </c>
      <c r="S25">
        <v>213280.44147183499</v>
      </c>
      <c r="T25">
        <v>-3.1783799616929902</v>
      </c>
      <c r="U25">
        <v>1.86680283319016E-3</v>
      </c>
      <c r="AC25" s="2"/>
      <c r="AD25" s="49"/>
      <c r="AE25" s="65"/>
      <c r="AF25" s="69"/>
      <c r="AG25" s="2"/>
      <c r="AH25" s="37"/>
      <c r="AK25" s="2"/>
      <c r="AL25" s="70"/>
      <c r="AM25" s="70"/>
      <c r="AN25" s="70"/>
      <c r="AO25" s="2"/>
      <c r="AP25" s="70"/>
      <c r="AQ25" s="70"/>
      <c r="AR25" s="5"/>
    </row>
    <row r="26" spans="1:44" x14ac:dyDescent="0.2">
      <c r="A26" s="2">
        <v>41244</v>
      </c>
      <c r="B26">
        <f t="shared" si="3"/>
        <v>2012</v>
      </c>
      <c r="C26">
        <f t="shared" si="4"/>
        <v>12</v>
      </c>
      <c r="D26" s="88">
        <v>8346319.1100000069</v>
      </c>
      <c r="E26" s="88">
        <v>32139.174490377161</v>
      </c>
      <c r="F26" s="88">
        <v>8378458.2844903842</v>
      </c>
      <c r="G26" s="78">
        <v>409.50000000000006</v>
      </c>
      <c r="H26" s="78">
        <v>0</v>
      </c>
      <c r="I26" s="30">
        <v>0</v>
      </c>
      <c r="J26" s="30">
        <v>2425</v>
      </c>
      <c r="K26" s="30">
        <v>24</v>
      </c>
      <c r="L26" s="81">
        <v>0</v>
      </c>
      <c r="M26" s="30">
        <f t="shared" si="5"/>
        <v>7544484.569832895</v>
      </c>
      <c r="N26" s="30">
        <f t="shared" si="0"/>
        <v>7512345.3953425176</v>
      </c>
      <c r="O26" s="30">
        <f t="shared" si="1"/>
        <v>-833973.71465748921</v>
      </c>
      <c r="P26" s="48">
        <f t="shared" si="2"/>
        <v>9.9537848890562955E-2</v>
      </c>
      <c r="AC26" s="2"/>
      <c r="AD26" s="49"/>
      <c r="AE26" s="65"/>
      <c r="AF26" s="69"/>
      <c r="AG26" s="2"/>
      <c r="AH26" s="37"/>
      <c r="AK26" s="2"/>
      <c r="AL26" s="70"/>
      <c r="AM26" s="70"/>
      <c r="AN26" s="70"/>
      <c r="AO26" s="2"/>
      <c r="AP26" s="70"/>
      <c r="AQ26" s="70"/>
      <c r="AR26" s="5"/>
    </row>
    <row r="27" spans="1:44" x14ac:dyDescent="0.2">
      <c r="A27" s="2">
        <v>41275</v>
      </c>
      <c r="B27">
        <f t="shared" si="3"/>
        <v>2013</v>
      </c>
      <c r="C27">
        <f t="shared" si="4"/>
        <v>1</v>
      </c>
      <c r="D27" s="88">
        <v>6992984.0799999973</v>
      </c>
      <c r="E27" s="88">
        <v>64448.148935414909</v>
      </c>
      <c r="F27" s="88">
        <v>7057432.2289354121</v>
      </c>
      <c r="G27" s="78">
        <v>500.50000000000006</v>
      </c>
      <c r="H27" s="78">
        <v>0</v>
      </c>
      <c r="I27" s="30">
        <v>0</v>
      </c>
      <c r="J27" s="30">
        <v>2432</v>
      </c>
      <c r="K27" s="30">
        <v>25</v>
      </c>
      <c r="L27" s="81">
        <v>0</v>
      </c>
      <c r="M27" s="30">
        <f t="shared" si="5"/>
        <v>7880520.5705504315</v>
      </c>
      <c r="N27" s="30">
        <f t="shared" si="0"/>
        <v>7816072.4216150166</v>
      </c>
      <c r="O27" s="30">
        <f t="shared" si="1"/>
        <v>823088.34161501937</v>
      </c>
      <c r="P27" s="48">
        <f t="shared" si="2"/>
        <v>0.11662716904887363</v>
      </c>
      <c r="Q27" t="s">
        <v>24</v>
      </c>
      <c r="AC27" s="2"/>
      <c r="AD27" s="49"/>
      <c r="AE27" s="112"/>
      <c r="AF27" s="69"/>
      <c r="AG27" s="2"/>
      <c r="AH27" s="37"/>
      <c r="AK27" s="2"/>
      <c r="AL27" s="70"/>
      <c r="AM27" s="5"/>
      <c r="AN27" s="5"/>
      <c r="AO27" s="2"/>
      <c r="AP27" s="70"/>
      <c r="AQ27" s="5"/>
      <c r="AR27" s="5"/>
    </row>
    <row r="28" spans="1:44" x14ac:dyDescent="0.2">
      <c r="A28" s="2">
        <v>41306</v>
      </c>
      <c r="B28">
        <f t="shared" si="3"/>
        <v>2013</v>
      </c>
      <c r="C28">
        <f t="shared" si="4"/>
        <v>2</v>
      </c>
      <c r="D28" s="88">
        <v>7528794.9500000002</v>
      </c>
      <c r="E28" s="88">
        <v>64448.148935414909</v>
      </c>
      <c r="F28" s="88">
        <v>7593243.098935415</v>
      </c>
      <c r="G28" s="78">
        <v>519.49999999999989</v>
      </c>
      <c r="H28" s="78">
        <v>0</v>
      </c>
      <c r="I28" s="30">
        <v>0</v>
      </c>
      <c r="J28" s="30">
        <v>2441</v>
      </c>
      <c r="K28" s="30">
        <v>26</v>
      </c>
      <c r="L28" s="81">
        <v>0</v>
      </c>
      <c r="M28" s="30">
        <f t="shared" si="5"/>
        <v>7979068.3573931791</v>
      </c>
      <c r="N28" s="30">
        <f t="shared" si="0"/>
        <v>7914620.2084577642</v>
      </c>
      <c r="O28" s="30">
        <f t="shared" si="1"/>
        <v>385825.25845776405</v>
      </c>
      <c r="P28" s="48">
        <f t="shared" si="2"/>
        <v>5.081165628845169E-2</v>
      </c>
      <c r="Q28" t="s">
        <v>25</v>
      </c>
      <c r="R28">
        <v>7439770.1888907803</v>
      </c>
      <c r="S28" t="s">
        <v>26</v>
      </c>
      <c r="T28">
        <v>772806.71759679995</v>
      </c>
      <c r="AC28" s="2"/>
      <c r="AD28" s="49"/>
      <c r="AE28" s="65"/>
      <c r="AF28" s="69"/>
      <c r="AG28" s="2"/>
      <c r="AH28" s="37"/>
      <c r="AK28" s="2"/>
      <c r="AL28" s="70"/>
      <c r="AM28" s="5"/>
      <c r="AN28" s="5"/>
      <c r="AO28" s="2"/>
      <c r="AP28" s="70"/>
      <c r="AQ28" s="5"/>
      <c r="AR28" s="5"/>
    </row>
    <row r="29" spans="1:44" x14ac:dyDescent="0.2">
      <c r="A29" s="2">
        <v>41334</v>
      </c>
      <c r="B29">
        <f t="shared" si="3"/>
        <v>2013</v>
      </c>
      <c r="C29">
        <f t="shared" si="4"/>
        <v>3</v>
      </c>
      <c r="D29" s="88">
        <v>7671019.2299999977</v>
      </c>
      <c r="E29" s="88">
        <v>64448.148935414909</v>
      </c>
      <c r="F29" s="88">
        <v>7735467.3789354125</v>
      </c>
      <c r="G29" s="78">
        <v>430.8</v>
      </c>
      <c r="H29" s="78">
        <v>0</v>
      </c>
      <c r="I29" s="30">
        <v>0</v>
      </c>
      <c r="J29" s="30">
        <v>2459</v>
      </c>
      <c r="K29" s="30">
        <v>27</v>
      </c>
      <c r="L29" s="81">
        <v>0</v>
      </c>
      <c r="M29" s="30">
        <f t="shared" si="5"/>
        <v>7752988.0352081126</v>
      </c>
      <c r="N29" s="30">
        <f t="shared" si="0"/>
        <v>7688539.8862726977</v>
      </c>
      <c r="O29" s="30">
        <f t="shared" si="1"/>
        <v>17520.656272700056</v>
      </c>
      <c r="P29" s="48">
        <f t="shared" si="2"/>
        <v>2.2649770743537571E-3</v>
      </c>
      <c r="Q29" t="s">
        <v>27</v>
      </c>
      <c r="R29">
        <v>24381832010483</v>
      </c>
      <c r="S29" t="s">
        <v>28</v>
      </c>
      <c r="T29">
        <v>441649.92480907799</v>
      </c>
      <c r="AC29" s="2"/>
      <c r="AD29" s="49"/>
      <c r="AE29" s="65"/>
      <c r="AF29" s="69"/>
      <c r="AG29" s="2"/>
      <c r="AH29" s="37"/>
      <c r="AK29" s="2"/>
      <c r="AL29" s="70"/>
      <c r="AM29" s="5"/>
      <c r="AN29" s="5"/>
      <c r="AO29" s="2"/>
      <c r="AP29" s="70"/>
      <c r="AQ29" s="5"/>
      <c r="AR29" s="5"/>
    </row>
    <row r="30" spans="1:44" x14ac:dyDescent="0.2">
      <c r="A30" s="2">
        <v>41365</v>
      </c>
      <c r="B30">
        <f t="shared" si="3"/>
        <v>2013</v>
      </c>
      <c r="C30">
        <f t="shared" si="4"/>
        <v>4</v>
      </c>
      <c r="D30" s="88">
        <v>6871568.5999999996</v>
      </c>
      <c r="E30" s="88">
        <v>64448.148935414909</v>
      </c>
      <c r="F30" s="88">
        <v>6936016.7489354145</v>
      </c>
      <c r="G30" s="78">
        <v>239.99999999999997</v>
      </c>
      <c r="H30" s="78">
        <v>1.4000000000000004</v>
      </c>
      <c r="I30" s="30">
        <v>0</v>
      </c>
      <c r="J30" s="30">
        <v>2464</v>
      </c>
      <c r="K30" s="30">
        <v>28</v>
      </c>
      <c r="L30" s="81">
        <v>0</v>
      </c>
      <c r="M30" s="30">
        <f t="shared" si="5"/>
        <v>7116395.9338842174</v>
      </c>
      <c r="N30" s="30">
        <f t="shared" si="0"/>
        <v>7051947.7849488026</v>
      </c>
      <c r="O30" s="30">
        <f t="shared" si="1"/>
        <v>180379.18494880293</v>
      </c>
      <c r="P30" s="48">
        <f t="shared" si="2"/>
        <v>2.600616340444805E-2</v>
      </c>
      <c r="Q30" t="s">
        <v>29</v>
      </c>
      <c r="R30">
        <v>0.688401738845417</v>
      </c>
      <c r="S30" t="s">
        <v>30</v>
      </c>
      <c r="T30" s="79">
        <v>0.67344502230999703</v>
      </c>
      <c r="Z30" s="79"/>
      <c r="AC30" s="2"/>
      <c r="AD30" s="49"/>
      <c r="AE30" s="112"/>
      <c r="AF30" s="69"/>
      <c r="AG30" s="2"/>
      <c r="AH30" s="37"/>
      <c r="AK30" s="2"/>
      <c r="AL30" s="70"/>
      <c r="AM30" s="5"/>
      <c r="AN30" s="5"/>
      <c r="AO30" s="2"/>
      <c r="AP30" s="70"/>
      <c r="AQ30" s="5"/>
      <c r="AR30" s="5"/>
    </row>
    <row r="31" spans="1:44" x14ac:dyDescent="0.2">
      <c r="A31" s="2">
        <v>41395</v>
      </c>
      <c r="B31">
        <f t="shared" si="3"/>
        <v>2013</v>
      </c>
      <c r="C31">
        <f t="shared" si="4"/>
        <v>5</v>
      </c>
      <c r="D31" s="88">
        <v>6873417.9000000032</v>
      </c>
      <c r="E31" s="88">
        <v>64448.148935414909</v>
      </c>
      <c r="F31" s="88">
        <v>6937866.048935418</v>
      </c>
      <c r="G31" s="78">
        <v>45.1</v>
      </c>
      <c r="H31" s="78">
        <v>83.1</v>
      </c>
      <c r="I31" s="30">
        <v>0</v>
      </c>
      <c r="J31" s="30">
        <v>2462</v>
      </c>
      <c r="K31" s="30">
        <v>29</v>
      </c>
      <c r="L31" s="81">
        <v>0</v>
      </c>
      <c r="M31" s="30">
        <f t="shared" si="5"/>
        <v>6828695.2636615066</v>
      </c>
      <c r="N31" s="30">
        <f t="shared" si="0"/>
        <v>6764247.1147260917</v>
      </c>
      <c r="O31" s="30">
        <f t="shared" si="1"/>
        <v>-109170.78527391143</v>
      </c>
      <c r="P31" s="48">
        <f t="shared" si="2"/>
        <v>1.5735499143956975E-2</v>
      </c>
      <c r="Q31" t="s">
        <v>89</v>
      </c>
      <c r="R31">
        <v>53.218325624543901</v>
      </c>
      <c r="S31" t="s">
        <v>31</v>
      </c>
      <c r="T31" s="79">
        <v>4.0383923664712798E-32</v>
      </c>
      <c r="Z31" s="79"/>
      <c r="AC31" s="2"/>
      <c r="AD31" s="49"/>
      <c r="AE31" s="65"/>
      <c r="AF31" s="69"/>
      <c r="AG31" s="2"/>
      <c r="AH31" s="37"/>
      <c r="AK31" s="2"/>
      <c r="AL31" s="70"/>
      <c r="AM31" s="5"/>
      <c r="AN31" s="5"/>
      <c r="AO31" s="2"/>
      <c r="AP31" s="70"/>
      <c r="AQ31" s="5"/>
      <c r="AR31" s="5"/>
    </row>
    <row r="32" spans="1:44" x14ac:dyDescent="0.2">
      <c r="A32" s="2">
        <v>41426</v>
      </c>
      <c r="B32">
        <f t="shared" si="3"/>
        <v>2013</v>
      </c>
      <c r="C32">
        <f t="shared" si="4"/>
        <v>6</v>
      </c>
      <c r="D32" s="88">
        <v>6715915.2699999977</v>
      </c>
      <c r="E32" s="88">
        <v>64448.148935414909</v>
      </c>
      <c r="F32" s="88">
        <v>6780363.4189354125</v>
      </c>
      <c r="G32" s="78">
        <v>2.5999999999999996</v>
      </c>
      <c r="H32" s="78">
        <v>149.19999999999999</v>
      </c>
      <c r="I32" s="30">
        <v>0</v>
      </c>
      <c r="J32" s="30">
        <v>2453</v>
      </c>
      <c r="K32" s="30">
        <v>30</v>
      </c>
      <c r="L32" s="81">
        <v>0</v>
      </c>
      <c r="M32" s="30">
        <f t="shared" si="5"/>
        <v>6952131.9474713616</v>
      </c>
      <c r="N32" s="30">
        <f t="shared" si="0"/>
        <v>6887683.7985359468</v>
      </c>
      <c r="O32" s="30">
        <f t="shared" si="1"/>
        <v>171768.52853594907</v>
      </c>
      <c r="P32" s="48">
        <f t="shared" si="2"/>
        <v>2.5333233327324879E-2</v>
      </c>
      <c r="Q32" t="s">
        <v>32</v>
      </c>
      <c r="R32">
        <v>-2.50123868159357E-3</v>
      </c>
      <c r="S32" t="s">
        <v>33</v>
      </c>
      <c r="T32">
        <v>1.9576675850104199</v>
      </c>
      <c r="AC32" s="2"/>
      <c r="AD32" s="49"/>
      <c r="AE32" s="65"/>
      <c r="AF32" s="69"/>
      <c r="AG32" s="2"/>
      <c r="AH32" s="37"/>
      <c r="AK32" s="2"/>
      <c r="AL32" s="70"/>
      <c r="AM32" s="5"/>
      <c r="AN32" s="5"/>
      <c r="AO32" s="2"/>
      <c r="AP32" s="70"/>
      <c r="AQ32" s="5"/>
      <c r="AR32" s="5"/>
    </row>
    <row r="33" spans="1:47" x14ac:dyDescent="0.2">
      <c r="A33" s="2">
        <v>41456</v>
      </c>
      <c r="B33">
        <f t="shared" si="3"/>
        <v>2013</v>
      </c>
      <c r="C33">
        <f t="shared" si="4"/>
        <v>7</v>
      </c>
      <c r="D33" s="88">
        <v>7529495.0199999996</v>
      </c>
      <c r="E33" s="88">
        <v>64448.148935414909</v>
      </c>
      <c r="F33" s="88">
        <v>7593943.1689354144</v>
      </c>
      <c r="G33" s="78">
        <v>0</v>
      </c>
      <c r="H33" s="78">
        <v>257.30000000000007</v>
      </c>
      <c r="I33" s="30">
        <v>0</v>
      </c>
      <c r="J33" s="30">
        <v>2456</v>
      </c>
      <c r="K33" s="30">
        <v>31</v>
      </c>
      <c r="L33" s="81">
        <v>0</v>
      </c>
      <c r="M33" s="30">
        <f t="shared" si="5"/>
        <v>7482484.6001065336</v>
      </c>
      <c r="N33" s="30">
        <f t="shared" si="0"/>
        <v>7418036.4511711188</v>
      </c>
      <c r="O33" s="30">
        <f t="shared" si="1"/>
        <v>-111458.56882888079</v>
      </c>
      <c r="P33" s="48">
        <f t="shared" si="2"/>
        <v>1.4677298255908074E-2</v>
      </c>
      <c r="U33" s="79"/>
      <c r="AA33" s="79"/>
      <c r="AC33" s="2"/>
      <c r="AD33" s="49"/>
      <c r="AE33" s="112"/>
      <c r="AF33" s="69"/>
      <c r="AG33" s="2"/>
      <c r="AH33" s="37"/>
      <c r="AK33" s="2"/>
      <c r="AL33" s="70"/>
      <c r="AM33" s="5"/>
      <c r="AN33" s="5"/>
      <c r="AO33" s="2"/>
      <c r="AP33" s="70"/>
      <c r="AQ33" s="5"/>
      <c r="AR33" s="5"/>
    </row>
    <row r="34" spans="1:47" x14ac:dyDescent="0.2">
      <c r="A34" s="2">
        <v>41487</v>
      </c>
      <c r="B34">
        <f t="shared" si="3"/>
        <v>2013</v>
      </c>
      <c r="C34">
        <f t="shared" si="4"/>
        <v>8</v>
      </c>
      <c r="D34" s="88">
        <v>7547300.5200000023</v>
      </c>
      <c r="E34" s="88">
        <v>64448.148935414909</v>
      </c>
      <c r="F34" s="88">
        <v>7611748.6689354172</v>
      </c>
      <c r="G34" s="78">
        <v>0</v>
      </c>
      <c r="H34" s="78">
        <v>213.4</v>
      </c>
      <c r="I34" s="30">
        <v>0</v>
      </c>
      <c r="J34" s="30">
        <v>2459</v>
      </c>
      <c r="K34" s="30">
        <v>32</v>
      </c>
      <c r="L34" s="81">
        <v>0</v>
      </c>
      <c r="M34" s="30">
        <f t="shared" si="5"/>
        <v>7267151.4582749307</v>
      </c>
      <c r="N34" s="30">
        <f t="shared" si="0"/>
        <v>7202703.3093395159</v>
      </c>
      <c r="O34" s="30">
        <f t="shared" si="1"/>
        <v>-344597.21066048648</v>
      </c>
      <c r="P34" s="48">
        <f t="shared" si="2"/>
        <v>4.5271753659817303E-2</v>
      </c>
      <c r="U34" s="79"/>
      <c r="AA34" s="79"/>
      <c r="AC34" s="2"/>
      <c r="AD34" s="49"/>
      <c r="AE34" s="65"/>
      <c r="AF34" s="69"/>
      <c r="AG34" s="2"/>
      <c r="AH34" s="37"/>
      <c r="AK34" s="2"/>
      <c r="AL34" s="70"/>
      <c r="AM34" s="5"/>
      <c r="AN34" s="5"/>
      <c r="AO34" s="2"/>
      <c r="AP34" s="70"/>
      <c r="AQ34" s="5"/>
      <c r="AR34" s="5"/>
    </row>
    <row r="35" spans="1:47" x14ac:dyDescent="0.2">
      <c r="A35" s="2">
        <v>41518</v>
      </c>
      <c r="B35">
        <f t="shared" si="3"/>
        <v>2013</v>
      </c>
      <c r="C35">
        <f t="shared" si="4"/>
        <v>9</v>
      </c>
      <c r="D35" s="88">
        <v>6186232.4199999981</v>
      </c>
      <c r="E35" s="88">
        <v>64448.148935414909</v>
      </c>
      <c r="F35" s="88">
        <v>6250680.5689354129</v>
      </c>
      <c r="G35" s="78">
        <v>22.099999999999998</v>
      </c>
      <c r="H35" s="78">
        <v>80.200000000000017</v>
      </c>
      <c r="I35" s="30">
        <v>1</v>
      </c>
      <c r="J35" s="30">
        <v>2460</v>
      </c>
      <c r="K35" s="30">
        <v>33</v>
      </c>
      <c r="L35" s="81">
        <v>0</v>
      </c>
      <c r="M35" s="30">
        <f t="shared" si="5"/>
        <v>6387278.388945966</v>
      </c>
      <c r="N35" s="30">
        <f t="shared" ref="N35:N66" si="6">M35-E35</f>
        <v>6322830.2400105512</v>
      </c>
      <c r="O35" s="30">
        <f t="shared" ref="O35:O66" si="7">+M35-F35</f>
        <v>136597.82001055311</v>
      </c>
      <c r="P35" s="48">
        <f t="shared" ref="P35:P66" si="8">ABS(O35/F35)</f>
        <v>2.1853271576444969E-2</v>
      </c>
      <c r="U35" s="79"/>
      <c r="AA35" s="79"/>
      <c r="AC35" s="2"/>
      <c r="AD35" s="49"/>
      <c r="AE35" s="65"/>
      <c r="AF35" s="69"/>
      <c r="AG35" s="2"/>
      <c r="AH35" s="37"/>
      <c r="AK35" s="2"/>
      <c r="AL35" s="70"/>
      <c r="AM35" s="5"/>
      <c r="AN35" s="5"/>
      <c r="AO35" s="2"/>
      <c r="AP35" s="70"/>
      <c r="AQ35" s="37"/>
      <c r="AR35" s="5"/>
    </row>
    <row r="36" spans="1:47" x14ac:dyDescent="0.2">
      <c r="A36" s="2">
        <v>41548</v>
      </c>
      <c r="B36">
        <f t="shared" si="3"/>
        <v>2013</v>
      </c>
      <c r="C36">
        <f t="shared" si="4"/>
        <v>10</v>
      </c>
      <c r="D36" s="88">
        <v>6762438.1099999994</v>
      </c>
      <c r="E36" s="88">
        <v>64448.148935414909</v>
      </c>
      <c r="F36" s="88">
        <v>6826886.2589354143</v>
      </c>
      <c r="G36" s="78">
        <v>115.4</v>
      </c>
      <c r="H36" s="78">
        <v>16.100000000000001</v>
      </c>
      <c r="I36" s="30">
        <v>1</v>
      </c>
      <c r="J36" s="30">
        <v>2463</v>
      </c>
      <c r="K36" s="30">
        <v>34</v>
      </c>
      <c r="L36" s="81">
        <v>0</v>
      </c>
      <c r="M36" s="30">
        <f t="shared" si="5"/>
        <v>6392609.5669244584</v>
      </c>
      <c r="N36" s="30">
        <f t="shared" si="6"/>
        <v>6328161.4179890435</v>
      </c>
      <c r="O36" s="30">
        <f t="shared" si="7"/>
        <v>-434276.69201095589</v>
      </c>
      <c r="P36" s="48">
        <f t="shared" si="8"/>
        <v>6.3612703586873154E-2</v>
      </c>
      <c r="AC36" s="2"/>
      <c r="AD36" s="49"/>
      <c r="AF36" s="69"/>
      <c r="AG36" s="2"/>
      <c r="AH36" s="37"/>
      <c r="AK36" s="2"/>
      <c r="AL36" s="70"/>
      <c r="AM36" s="5"/>
      <c r="AN36" s="5"/>
      <c r="AO36" s="2"/>
      <c r="AP36" s="70"/>
      <c r="AQ36" s="5"/>
      <c r="AR36" s="5"/>
    </row>
    <row r="37" spans="1:47" x14ac:dyDescent="0.2">
      <c r="A37" s="2">
        <v>41579</v>
      </c>
      <c r="B37">
        <f t="shared" si="3"/>
        <v>2013</v>
      </c>
      <c r="C37">
        <f t="shared" si="4"/>
        <v>11</v>
      </c>
      <c r="D37" s="88">
        <v>6874649.0500000017</v>
      </c>
      <c r="E37" s="88">
        <v>64448.148935414909</v>
      </c>
      <c r="F37" s="88">
        <v>6939097.1989354165</v>
      </c>
      <c r="G37" s="78">
        <v>358.20000000000005</v>
      </c>
      <c r="H37" s="78">
        <v>0</v>
      </c>
      <c r="I37" s="30">
        <v>1</v>
      </c>
      <c r="J37" s="30">
        <v>2472</v>
      </c>
      <c r="K37" s="30">
        <v>35</v>
      </c>
      <c r="L37" s="81">
        <v>0</v>
      </c>
      <c r="M37" s="30">
        <f t="shared" si="5"/>
        <v>7181094.9199000327</v>
      </c>
      <c r="N37" s="30">
        <f t="shared" si="6"/>
        <v>7116646.7709646178</v>
      </c>
      <c r="O37" s="30">
        <f t="shared" si="7"/>
        <v>241997.72096461616</v>
      </c>
      <c r="P37" s="48">
        <f t="shared" si="8"/>
        <v>3.4874525320346142E-2</v>
      </c>
      <c r="AC37" s="2"/>
      <c r="AG37" s="2"/>
      <c r="AK37" s="2"/>
      <c r="AL37" s="72"/>
      <c r="AM37" s="5"/>
      <c r="AN37" s="5"/>
      <c r="AO37" s="2"/>
      <c r="AP37" s="72"/>
      <c r="AQ37" s="67"/>
      <c r="AR37" s="5"/>
      <c r="AS37" s="28"/>
      <c r="AT37" s="28"/>
    </row>
    <row r="38" spans="1:47" x14ac:dyDescent="0.2">
      <c r="A38" s="2">
        <v>41609</v>
      </c>
      <c r="B38">
        <f t="shared" si="3"/>
        <v>2013</v>
      </c>
      <c r="C38">
        <f t="shared" si="4"/>
        <v>12</v>
      </c>
      <c r="D38" s="88">
        <v>9468067.9800000042</v>
      </c>
      <c r="E38" s="88">
        <v>64448.148935414909</v>
      </c>
      <c r="F38" s="88">
        <v>9532516.128935419</v>
      </c>
      <c r="G38" s="78">
        <v>563.9</v>
      </c>
      <c r="H38" s="78">
        <v>0</v>
      </c>
      <c r="I38" s="30">
        <v>0</v>
      </c>
      <c r="J38" s="30">
        <v>2477</v>
      </c>
      <c r="K38" s="30">
        <v>36</v>
      </c>
      <c r="L38" s="81">
        <v>0</v>
      </c>
      <c r="M38" s="30">
        <f t="shared" si="5"/>
        <v>8188534.3985772552</v>
      </c>
      <c r="N38" s="30">
        <f t="shared" si="6"/>
        <v>8124086.2496418403</v>
      </c>
      <c r="O38" s="30">
        <f t="shared" si="7"/>
        <v>-1343981.7303581638</v>
      </c>
      <c r="P38" s="48">
        <f t="shared" si="8"/>
        <v>0.14098919028089368</v>
      </c>
      <c r="AC38" s="2"/>
      <c r="AG38" s="2"/>
      <c r="AK38" s="2"/>
      <c r="AL38" s="72"/>
      <c r="AM38" s="5"/>
      <c r="AN38" s="5"/>
      <c r="AO38" s="2"/>
      <c r="AP38" s="72"/>
      <c r="AQ38" s="5"/>
      <c r="AR38" s="5"/>
      <c r="AS38" s="28"/>
      <c r="AT38" s="28"/>
    </row>
    <row r="39" spans="1:47" x14ac:dyDescent="0.2">
      <c r="A39" s="2">
        <v>41640</v>
      </c>
      <c r="B39">
        <f t="shared" si="3"/>
        <v>2014</v>
      </c>
      <c r="C39">
        <f t="shared" si="4"/>
        <v>1</v>
      </c>
      <c r="D39" s="88">
        <v>7382347.2899999991</v>
      </c>
      <c r="E39" s="88">
        <v>105551.56172052656</v>
      </c>
      <c r="F39" s="88">
        <v>7487898.8517205259</v>
      </c>
      <c r="G39" s="78">
        <v>701.9000000000002</v>
      </c>
      <c r="H39" s="78">
        <v>0</v>
      </c>
      <c r="I39" s="30">
        <v>0</v>
      </c>
      <c r="J39" s="30">
        <v>2482</v>
      </c>
      <c r="K39" s="30">
        <v>37</v>
      </c>
      <c r="L39" s="81">
        <v>0</v>
      </c>
      <c r="M39" s="30">
        <f t="shared" si="5"/>
        <v>8676058.9768532682</v>
      </c>
      <c r="N39" s="30">
        <f t="shared" si="6"/>
        <v>8570507.4151327424</v>
      </c>
      <c r="O39" s="30">
        <f t="shared" si="7"/>
        <v>1188160.1251327423</v>
      </c>
      <c r="P39" s="48">
        <f t="shared" si="8"/>
        <v>0.15867737380823912</v>
      </c>
      <c r="U39" s="79"/>
      <c r="AA39" s="79"/>
      <c r="AC39" s="2"/>
      <c r="AG39" s="2"/>
      <c r="AK39" s="2"/>
      <c r="AL39" s="72"/>
      <c r="AM39" s="5"/>
      <c r="AN39" s="5"/>
      <c r="AO39" s="2"/>
      <c r="AP39" s="72"/>
      <c r="AQ39" s="5"/>
      <c r="AR39" s="5"/>
      <c r="AS39" s="28"/>
      <c r="AT39" s="28"/>
    </row>
    <row r="40" spans="1:47" x14ac:dyDescent="0.2">
      <c r="A40" s="2">
        <v>41671</v>
      </c>
      <c r="B40">
        <f t="shared" si="3"/>
        <v>2014</v>
      </c>
      <c r="C40">
        <f t="shared" si="4"/>
        <v>2</v>
      </c>
      <c r="D40" s="88">
        <v>8397444.3799999971</v>
      </c>
      <c r="E40" s="88">
        <v>105551.56172052656</v>
      </c>
      <c r="F40" s="88">
        <v>8502995.9417205229</v>
      </c>
      <c r="G40" s="78">
        <v>625.09999999999991</v>
      </c>
      <c r="H40" s="78">
        <v>0</v>
      </c>
      <c r="I40" s="30">
        <v>0</v>
      </c>
      <c r="J40" s="30">
        <v>2488</v>
      </c>
      <c r="K40" s="30">
        <v>38</v>
      </c>
      <c r="L40" s="81">
        <v>0</v>
      </c>
      <c r="M40" s="30">
        <f t="shared" si="5"/>
        <v>8429770.0492576137</v>
      </c>
      <c r="N40" s="30">
        <f t="shared" si="6"/>
        <v>8324218.4875370869</v>
      </c>
      <c r="O40" s="30">
        <f t="shared" si="7"/>
        <v>-73225.892462909222</v>
      </c>
      <c r="P40" s="48">
        <f t="shared" si="8"/>
        <v>8.6117755394450376E-3</v>
      </c>
      <c r="T40" s="79"/>
      <c r="U40" s="79"/>
      <c r="AC40" s="2"/>
      <c r="AG40" s="2"/>
      <c r="AK40" s="2"/>
      <c r="AL40" s="72"/>
      <c r="AM40" s="5"/>
      <c r="AN40" s="5"/>
      <c r="AO40" s="2"/>
      <c r="AP40" s="72"/>
      <c r="AQ40" s="5"/>
      <c r="AR40" s="5"/>
      <c r="AS40" s="28"/>
      <c r="AT40" s="28"/>
    </row>
    <row r="41" spans="1:47" x14ac:dyDescent="0.2">
      <c r="A41" s="2">
        <v>41699</v>
      </c>
      <c r="B41">
        <f t="shared" si="3"/>
        <v>2014</v>
      </c>
      <c r="C41">
        <f t="shared" si="4"/>
        <v>3</v>
      </c>
      <c r="D41" s="88">
        <v>8130248.8600000041</v>
      </c>
      <c r="E41" s="88">
        <v>105551.56172052656</v>
      </c>
      <c r="F41" s="88">
        <v>8235800.4217205308</v>
      </c>
      <c r="G41" s="78">
        <v>566.6</v>
      </c>
      <c r="H41" s="78">
        <v>0</v>
      </c>
      <c r="I41" s="30">
        <v>0</v>
      </c>
      <c r="J41" s="30">
        <v>2489</v>
      </c>
      <c r="K41" s="30">
        <v>39</v>
      </c>
      <c r="L41" s="81">
        <v>0</v>
      </c>
      <c r="M41" s="30">
        <f t="shared" si="5"/>
        <v>8220956.0086550247</v>
      </c>
      <c r="N41" s="30">
        <f t="shared" si="6"/>
        <v>8115404.4469344979</v>
      </c>
      <c r="O41" s="30">
        <f t="shared" si="7"/>
        <v>-14844.413065506145</v>
      </c>
      <c r="P41" s="48">
        <f t="shared" si="8"/>
        <v>1.8024250595432736E-3</v>
      </c>
      <c r="U41" s="79"/>
      <c r="AC41" s="2"/>
      <c r="AG41" s="2"/>
      <c r="AK41" s="2"/>
      <c r="AL41" s="72"/>
      <c r="AM41" s="5"/>
      <c r="AN41" s="5"/>
      <c r="AO41" s="2"/>
      <c r="AP41" s="72"/>
      <c r="AQ41" s="5"/>
      <c r="AR41" s="5"/>
      <c r="AS41" s="28"/>
      <c r="AT41" s="28"/>
    </row>
    <row r="42" spans="1:47" x14ac:dyDescent="0.2">
      <c r="A42" s="2">
        <v>41730</v>
      </c>
      <c r="B42">
        <f t="shared" si="3"/>
        <v>2014</v>
      </c>
      <c r="C42">
        <f t="shared" si="4"/>
        <v>4</v>
      </c>
      <c r="D42" s="88">
        <v>7475909.6799999997</v>
      </c>
      <c r="E42" s="88">
        <v>105551.56172052656</v>
      </c>
      <c r="F42" s="88">
        <v>7581461.2417205265</v>
      </c>
      <c r="G42" s="78">
        <v>236.89999999999995</v>
      </c>
      <c r="H42" s="78">
        <v>0</v>
      </c>
      <c r="I42" s="30">
        <v>0</v>
      </c>
      <c r="J42" s="30">
        <v>2491</v>
      </c>
      <c r="K42" s="30">
        <v>40</v>
      </c>
      <c r="L42" s="81">
        <v>0</v>
      </c>
      <c r="M42" s="30">
        <f t="shared" si="5"/>
        <v>7084313.2826511618</v>
      </c>
      <c r="N42" s="30">
        <f t="shared" si="6"/>
        <v>6978761.720930635</v>
      </c>
      <c r="O42" s="30">
        <f t="shared" si="7"/>
        <v>-497147.9590693647</v>
      </c>
      <c r="P42" s="48">
        <f t="shared" si="8"/>
        <v>6.5574160866717385E-2</v>
      </c>
      <c r="U42" s="79"/>
      <c r="AC42" s="2"/>
      <c r="AG42" s="2"/>
      <c r="AK42" s="2"/>
      <c r="AL42" s="72"/>
      <c r="AM42" s="5"/>
      <c r="AN42" s="5"/>
      <c r="AO42" s="2"/>
      <c r="AP42" s="72"/>
      <c r="AQ42" s="5"/>
      <c r="AR42" s="5"/>
      <c r="AS42" s="28"/>
      <c r="AT42" s="28"/>
    </row>
    <row r="43" spans="1:47" x14ac:dyDescent="0.2">
      <c r="A43" s="2">
        <v>41760</v>
      </c>
      <c r="B43">
        <f t="shared" si="3"/>
        <v>2014</v>
      </c>
      <c r="C43">
        <f t="shared" si="4"/>
        <v>5</v>
      </c>
      <c r="D43" s="88">
        <v>6796663.4799999958</v>
      </c>
      <c r="E43" s="88">
        <v>105551.56172052656</v>
      </c>
      <c r="F43" s="88">
        <v>6902215.0417205226</v>
      </c>
      <c r="G43" s="78">
        <v>46.599999999999994</v>
      </c>
      <c r="H43" s="78">
        <v>50.400000000000006</v>
      </c>
      <c r="I43" s="30">
        <v>0</v>
      </c>
      <c r="J43" s="30">
        <v>2495</v>
      </c>
      <c r="K43" s="30">
        <v>41</v>
      </c>
      <c r="L43" s="81">
        <v>0</v>
      </c>
      <c r="M43" s="30">
        <f t="shared" si="5"/>
        <v>6687614.6078240499</v>
      </c>
      <c r="N43" s="30">
        <f t="shared" si="6"/>
        <v>6582063.0461035231</v>
      </c>
      <c r="O43" s="30">
        <f t="shared" si="7"/>
        <v>-214600.43389647268</v>
      </c>
      <c r="P43" s="48">
        <f t="shared" si="8"/>
        <v>3.1091531138818154E-2</v>
      </c>
      <c r="X43" s="79"/>
      <c r="AC43" s="2"/>
      <c r="AG43" s="2"/>
      <c r="AK43" s="2"/>
      <c r="AL43" s="72"/>
      <c r="AM43" s="5"/>
      <c r="AN43" s="5"/>
      <c r="AO43" s="2"/>
      <c r="AP43" s="72"/>
      <c r="AQ43" s="5"/>
      <c r="AR43" s="5"/>
      <c r="AS43" s="28"/>
      <c r="AT43" s="28"/>
    </row>
    <row r="44" spans="1:47" x14ac:dyDescent="0.2">
      <c r="A44" s="2">
        <v>41791</v>
      </c>
      <c r="B44">
        <f t="shared" si="3"/>
        <v>2014</v>
      </c>
      <c r="C44">
        <f t="shared" si="4"/>
        <v>6</v>
      </c>
      <c r="D44" s="88">
        <v>6448751.459999999</v>
      </c>
      <c r="E44" s="88">
        <v>105551.56172052656</v>
      </c>
      <c r="F44" s="88">
        <v>6554303.0217205258</v>
      </c>
      <c r="G44" s="78">
        <v>0</v>
      </c>
      <c r="H44" s="78">
        <v>174</v>
      </c>
      <c r="I44" s="30">
        <v>0</v>
      </c>
      <c r="J44" s="30">
        <v>2502</v>
      </c>
      <c r="K44" s="30">
        <v>42</v>
      </c>
      <c r="L44" s="81">
        <v>0</v>
      </c>
      <c r="M44" s="30">
        <f t="shared" si="5"/>
        <v>7163941.7544747433</v>
      </c>
      <c r="N44" s="30">
        <f t="shared" si="6"/>
        <v>7058390.1927542165</v>
      </c>
      <c r="O44" s="30">
        <f t="shared" si="7"/>
        <v>609638.73275421746</v>
      </c>
      <c r="P44" s="48">
        <f t="shared" si="8"/>
        <v>9.3013510473030483E-2</v>
      </c>
      <c r="U44" s="79"/>
      <c r="Z44" s="79"/>
      <c r="AC44" s="2"/>
      <c r="AG44" s="2"/>
      <c r="AK44" s="2"/>
      <c r="AL44" s="72"/>
      <c r="AM44" s="5"/>
      <c r="AN44" s="5"/>
      <c r="AO44" s="2"/>
      <c r="AP44" s="72"/>
      <c r="AQ44" s="5"/>
      <c r="AR44" s="5"/>
      <c r="AS44" s="28"/>
      <c r="AT44" s="28"/>
    </row>
    <row r="45" spans="1:47" x14ac:dyDescent="0.2">
      <c r="A45" s="2">
        <v>41821</v>
      </c>
      <c r="B45">
        <f t="shared" si="3"/>
        <v>2014</v>
      </c>
      <c r="C45">
        <f t="shared" si="4"/>
        <v>7</v>
      </c>
      <c r="D45" s="88">
        <v>7390493.370000002</v>
      </c>
      <c r="E45" s="88">
        <v>105551.56172052656</v>
      </c>
      <c r="F45" s="88">
        <v>7496044.9317205288</v>
      </c>
      <c r="G45" s="78">
        <v>0</v>
      </c>
      <c r="H45" s="78">
        <v>190.99999999999997</v>
      </c>
      <c r="I45" s="30">
        <v>0</v>
      </c>
      <c r="J45" s="30">
        <v>2512</v>
      </c>
      <c r="K45" s="30">
        <v>43</v>
      </c>
      <c r="L45" s="81">
        <v>0</v>
      </c>
      <c r="M45" s="30">
        <f t="shared" si="5"/>
        <v>7286624.5677524414</v>
      </c>
      <c r="N45" s="30">
        <f t="shared" si="6"/>
        <v>7181073.0060319146</v>
      </c>
      <c r="O45" s="30">
        <f t="shared" si="7"/>
        <v>-209420.36396808736</v>
      </c>
      <c r="P45" s="48">
        <f t="shared" si="8"/>
        <v>2.7937447797557448E-2</v>
      </c>
      <c r="R45" s="79"/>
      <c r="U45" s="79"/>
      <c r="Z45" s="79"/>
      <c r="AC45" s="2"/>
      <c r="AG45" s="2"/>
      <c r="AK45" s="2"/>
      <c r="AL45" s="72"/>
      <c r="AM45" s="5"/>
      <c r="AN45" s="5"/>
      <c r="AO45" s="2"/>
      <c r="AP45" s="72"/>
      <c r="AQ45" s="5"/>
      <c r="AR45" s="5"/>
      <c r="AS45" s="28"/>
      <c r="AT45" s="28"/>
    </row>
    <row r="46" spans="1:47" x14ac:dyDescent="0.2">
      <c r="A46" s="2">
        <v>41852</v>
      </c>
      <c r="B46">
        <f t="shared" si="3"/>
        <v>2014</v>
      </c>
      <c r="C46">
        <f t="shared" si="4"/>
        <v>8</v>
      </c>
      <c r="D46" s="88">
        <v>6944132.1800000006</v>
      </c>
      <c r="E46" s="88">
        <v>105551.56172052656</v>
      </c>
      <c r="F46" s="88">
        <v>7049683.7417205274</v>
      </c>
      <c r="G46" s="78">
        <v>0</v>
      </c>
      <c r="H46" s="78">
        <v>197</v>
      </c>
      <c r="I46" s="30">
        <v>0</v>
      </c>
      <c r="J46" s="30">
        <v>2521</v>
      </c>
      <c r="K46" s="30">
        <v>44</v>
      </c>
      <c r="L46" s="81">
        <v>0</v>
      </c>
      <c r="M46" s="30">
        <f t="shared" si="5"/>
        <v>7349600.6477044076</v>
      </c>
      <c r="N46" s="30">
        <f t="shared" si="6"/>
        <v>7244049.0859838808</v>
      </c>
      <c r="O46" s="30">
        <f t="shared" si="7"/>
        <v>299916.90598388016</v>
      </c>
      <c r="P46" s="48">
        <f t="shared" si="8"/>
        <v>4.2543313568657086E-2</v>
      </c>
      <c r="T46" s="79"/>
      <c r="U46" s="79"/>
      <c r="AC46" s="2"/>
      <c r="AG46" s="2"/>
      <c r="AK46" s="2"/>
      <c r="AL46" s="72"/>
      <c r="AM46" s="5"/>
      <c r="AN46" s="5"/>
      <c r="AO46" s="2"/>
      <c r="AP46" s="72"/>
      <c r="AQ46" s="5"/>
      <c r="AR46" s="5"/>
      <c r="AS46" s="28"/>
      <c r="AT46" s="28"/>
      <c r="AU46" s="28"/>
    </row>
    <row r="47" spans="1:47" x14ac:dyDescent="0.2">
      <c r="A47" s="2">
        <v>41883</v>
      </c>
      <c r="B47">
        <f t="shared" si="3"/>
        <v>2014</v>
      </c>
      <c r="C47">
        <f t="shared" si="4"/>
        <v>9</v>
      </c>
      <c r="D47" s="88">
        <v>6510451.410000002</v>
      </c>
      <c r="E47" s="88">
        <v>105551.56172052656</v>
      </c>
      <c r="F47" s="88">
        <v>6616002.9717205288</v>
      </c>
      <c r="G47" s="78">
        <v>20.5</v>
      </c>
      <c r="H47" s="78">
        <v>100.89999999999998</v>
      </c>
      <c r="I47" s="30">
        <v>1</v>
      </c>
      <c r="J47" s="30">
        <v>2528</v>
      </c>
      <c r="K47" s="30">
        <v>45</v>
      </c>
      <c r="L47" s="81">
        <v>0</v>
      </c>
      <c r="M47" s="30">
        <f t="shared" si="5"/>
        <v>6678985.0544542503</v>
      </c>
      <c r="N47" s="30">
        <f t="shared" si="6"/>
        <v>6573433.4927337235</v>
      </c>
      <c r="O47" s="30">
        <f t="shared" si="7"/>
        <v>62982.082733721472</v>
      </c>
      <c r="P47" s="48">
        <f t="shared" si="8"/>
        <v>9.519657564080965E-3</v>
      </c>
      <c r="AC47" s="2"/>
      <c r="AG47" s="2"/>
      <c r="AK47" s="2"/>
      <c r="AL47" s="72"/>
      <c r="AM47" s="5"/>
      <c r="AN47" s="5"/>
      <c r="AO47" s="2"/>
      <c r="AP47" s="72"/>
      <c r="AQ47" s="5"/>
      <c r="AR47" s="5"/>
      <c r="AS47" s="28"/>
      <c r="AT47" s="28"/>
    </row>
    <row r="48" spans="1:47" x14ac:dyDescent="0.2">
      <c r="A48" s="2">
        <v>41913</v>
      </c>
      <c r="B48">
        <f t="shared" si="3"/>
        <v>2014</v>
      </c>
      <c r="C48">
        <f t="shared" si="4"/>
        <v>10</v>
      </c>
      <c r="D48" s="88">
        <v>6792373.7300000032</v>
      </c>
      <c r="E48" s="88">
        <v>105551.56172052656</v>
      </c>
      <c r="F48" s="88">
        <v>6897925.29172053</v>
      </c>
      <c r="G48" s="78">
        <v>117.8</v>
      </c>
      <c r="H48" s="78">
        <v>18.800000000000004</v>
      </c>
      <c r="I48" s="30">
        <v>1</v>
      </c>
      <c r="J48" s="30">
        <v>2530</v>
      </c>
      <c r="K48" s="30">
        <v>46</v>
      </c>
      <c r="L48" s="81">
        <v>0</v>
      </c>
      <c r="M48" s="30">
        <f t="shared" si="5"/>
        <v>6603616.7547564032</v>
      </c>
      <c r="N48" s="30">
        <f t="shared" si="6"/>
        <v>6498065.1930358764</v>
      </c>
      <c r="O48" s="30">
        <f t="shared" si="7"/>
        <v>-294308.53696412686</v>
      </c>
      <c r="P48" s="48">
        <f t="shared" si="8"/>
        <v>4.2666240139970883E-2</v>
      </c>
      <c r="AC48" s="2"/>
      <c r="AG48" s="2"/>
      <c r="AK48" s="2"/>
      <c r="AL48" s="72"/>
      <c r="AM48" s="5"/>
      <c r="AN48" s="5"/>
      <c r="AO48" s="2"/>
      <c r="AP48" s="72"/>
      <c r="AQ48" s="5"/>
      <c r="AR48" s="5"/>
      <c r="AS48" s="28"/>
      <c r="AT48" s="28"/>
    </row>
    <row r="49" spans="1:46" x14ac:dyDescent="0.2">
      <c r="A49" s="2">
        <v>41944</v>
      </c>
      <c r="B49">
        <f t="shared" si="3"/>
        <v>2014</v>
      </c>
      <c r="C49">
        <f t="shared" si="4"/>
        <v>11</v>
      </c>
      <c r="D49" s="88">
        <v>7187665.7199999969</v>
      </c>
      <c r="E49" s="88">
        <v>105551.56172052656</v>
      </c>
      <c r="F49" s="88">
        <v>7293217.2817205237</v>
      </c>
      <c r="G49" s="78">
        <v>362.10000000000008</v>
      </c>
      <c r="H49" s="78">
        <v>0</v>
      </c>
      <c r="I49" s="30">
        <v>1</v>
      </c>
      <c r="J49" s="30">
        <v>2539</v>
      </c>
      <c r="K49" s="30">
        <v>47</v>
      </c>
      <c r="L49" s="81">
        <v>0</v>
      </c>
      <c r="M49" s="30">
        <f t="shared" si="5"/>
        <v>7383857.4783916278</v>
      </c>
      <c r="N49" s="30">
        <f t="shared" si="6"/>
        <v>7278305.916671101</v>
      </c>
      <c r="O49" s="30">
        <f t="shared" si="7"/>
        <v>90640.196671104059</v>
      </c>
      <c r="P49" s="48">
        <f t="shared" si="8"/>
        <v>1.2428012654755483E-2</v>
      </c>
      <c r="AC49" s="2"/>
      <c r="AG49" s="2"/>
      <c r="AK49" s="2"/>
      <c r="AL49" s="72"/>
      <c r="AM49" s="5"/>
      <c r="AN49" s="5"/>
      <c r="AO49" s="2"/>
      <c r="AP49" s="72"/>
      <c r="AQ49" s="5"/>
      <c r="AR49" s="5"/>
      <c r="AS49" s="28"/>
      <c r="AT49" s="28"/>
    </row>
    <row r="50" spans="1:46" x14ac:dyDescent="0.2">
      <c r="A50" s="2">
        <v>41974</v>
      </c>
      <c r="B50">
        <f t="shared" si="3"/>
        <v>2014</v>
      </c>
      <c r="C50">
        <f t="shared" si="4"/>
        <v>12</v>
      </c>
      <c r="D50" s="88">
        <v>8927945.1699999962</v>
      </c>
      <c r="E50" s="88">
        <v>105551.56172052656</v>
      </c>
      <c r="F50" s="88">
        <v>9033496.731720522</v>
      </c>
      <c r="G50" s="78">
        <v>433.30000000000007</v>
      </c>
      <c r="H50" s="78">
        <v>0</v>
      </c>
      <c r="I50" s="30">
        <v>0</v>
      </c>
      <c r="J50" s="30">
        <v>2544</v>
      </c>
      <c r="K50" s="30">
        <v>48</v>
      </c>
      <c r="L50" s="81">
        <v>0</v>
      </c>
      <c r="M50" s="30">
        <f t="shared" si="5"/>
        <v>7928618.9136870848</v>
      </c>
      <c r="N50" s="30">
        <f t="shared" si="6"/>
        <v>7823067.351966558</v>
      </c>
      <c r="O50" s="30">
        <f t="shared" si="7"/>
        <v>-1104877.8180334372</v>
      </c>
      <c r="P50" s="48">
        <f t="shared" si="8"/>
        <v>0.12230898519658864</v>
      </c>
      <c r="AC50" s="2"/>
      <c r="AG50" s="2"/>
      <c r="AK50" s="2"/>
      <c r="AL50" s="72"/>
      <c r="AM50" s="5"/>
      <c r="AN50" s="5"/>
      <c r="AO50" s="2"/>
      <c r="AP50" s="72"/>
      <c r="AQ50" s="5"/>
      <c r="AR50" s="5"/>
      <c r="AS50" s="28"/>
      <c r="AT50" s="28"/>
    </row>
    <row r="51" spans="1:46" x14ac:dyDescent="0.2">
      <c r="A51" s="2">
        <v>42005</v>
      </c>
      <c r="B51">
        <f t="shared" si="3"/>
        <v>2015</v>
      </c>
      <c r="C51">
        <f t="shared" si="4"/>
        <v>1</v>
      </c>
      <c r="D51" s="88">
        <v>8967430.3132530134</v>
      </c>
      <c r="E51" s="88">
        <v>194937.46716045527</v>
      </c>
      <c r="F51" s="88">
        <v>9162367.7804134693</v>
      </c>
      <c r="G51" s="78">
        <v>668.39999999999986</v>
      </c>
      <c r="H51" s="78">
        <v>0</v>
      </c>
      <c r="I51" s="30">
        <v>0</v>
      </c>
      <c r="J51" s="30">
        <v>2548</v>
      </c>
      <c r="K51" s="30">
        <v>49</v>
      </c>
      <c r="L51" s="81">
        <v>0</v>
      </c>
      <c r="M51" s="30">
        <f t="shared" si="5"/>
        <v>8745070.7100575622</v>
      </c>
      <c r="N51" s="30">
        <f t="shared" si="6"/>
        <v>8550133.2428971063</v>
      </c>
      <c r="O51" s="30">
        <f t="shared" si="7"/>
        <v>-417297.07035590708</v>
      </c>
      <c r="P51" s="48">
        <f t="shared" si="8"/>
        <v>4.5544675825824117E-2</v>
      </c>
      <c r="T51" s="79"/>
      <c r="AC51" s="2"/>
      <c r="AG51" s="2"/>
      <c r="AK51" s="2"/>
      <c r="AL51" s="72"/>
      <c r="AM51" s="5"/>
      <c r="AN51" s="5"/>
      <c r="AO51" s="2"/>
      <c r="AP51" s="72"/>
      <c r="AQ51" s="5"/>
      <c r="AR51" s="5"/>
      <c r="AS51" s="28"/>
      <c r="AT51" s="28"/>
    </row>
    <row r="52" spans="1:46" x14ac:dyDescent="0.2">
      <c r="A52" s="2">
        <v>42036</v>
      </c>
      <c r="B52">
        <f t="shared" si="3"/>
        <v>2015</v>
      </c>
      <c r="C52">
        <f t="shared" si="4"/>
        <v>2</v>
      </c>
      <c r="D52" s="88">
        <v>8632890.5734939743</v>
      </c>
      <c r="E52" s="88">
        <v>194937.46716045527</v>
      </c>
      <c r="F52" s="88">
        <v>8827828.0406544302</v>
      </c>
      <c r="G52" s="78">
        <v>744.79999999999984</v>
      </c>
      <c r="H52" s="78">
        <v>0</v>
      </c>
      <c r="I52" s="30">
        <v>0</v>
      </c>
      <c r="J52" s="30">
        <v>2555</v>
      </c>
      <c r="K52" s="30">
        <v>50</v>
      </c>
      <c r="L52" s="81">
        <v>0</v>
      </c>
      <c r="M52" s="30">
        <f t="shared" si="5"/>
        <v>9030882.9231663719</v>
      </c>
      <c r="N52" s="30">
        <f t="shared" si="6"/>
        <v>8835945.456005916</v>
      </c>
      <c r="O52" s="30">
        <f t="shared" si="7"/>
        <v>203054.88251194172</v>
      </c>
      <c r="P52" s="48">
        <f t="shared" si="8"/>
        <v>2.300168077321188E-2</v>
      </c>
      <c r="T52" s="79"/>
      <c r="AC52" s="2"/>
      <c r="AG52" s="2"/>
      <c r="AK52" s="2"/>
      <c r="AL52" s="72"/>
      <c r="AM52" s="5"/>
      <c r="AN52" s="5"/>
      <c r="AO52" s="2"/>
      <c r="AP52" s="72"/>
      <c r="AQ52" s="5"/>
      <c r="AR52" s="5"/>
      <c r="AS52" s="28"/>
      <c r="AT52" s="28"/>
    </row>
    <row r="53" spans="1:46" x14ac:dyDescent="0.2">
      <c r="A53" s="2">
        <v>42064</v>
      </c>
      <c r="B53">
        <f t="shared" si="3"/>
        <v>2015</v>
      </c>
      <c r="C53">
        <f t="shared" si="4"/>
        <v>3</v>
      </c>
      <c r="D53" s="88">
        <v>8240875.3638554187</v>
      </c>
      <c r="E53" s="88">
        <v>194937.46716045527</v>
      </c>
      <c r="F53" s="88">
        <v>8435812.8310158737</v>
      </c>
      <c r="G53" s="78">
        <v>491.5</v>
      </c>
      <c r="H53" s="78">
        <v>0</v>
      </c>
      <c r="I53" s="30">
        <v>0</v>
      </c>
      <c r="J53" s="30">
        <v>2553</v>
      </c>
      <c r="K53" s="30">
        <v>51</v>
      </c>
      <c r="L53" s="81">
        <v>0</v>
      </c>
      <c r="M53" s="30">
        <f t="shared" si="5"/>
        <v>8136673.6083127819</v>
      </c>
      <c r="N53" s="30">
        <f t="shared" si="6"/>
        <v>7941736.1411523269</v>
      </c>
      <c r="O53" s="30">
        <f t="shared" si="7"/>
        <v>-299139.2227030918</v>
      </c>
      <c r="P53" s="48">
        <f t="shared" si="8"/>
        <v>3.5460628240025598E-2</v>
      </c>
      <c r="AC53" s="2"/>
      <c r="AG53" s="2"/>
      <c r="AK53" s="2"/>
      <c r="AL53" s="72"/>
      <c r="AM53" s="5"/>
      <c r="AN53" s="5"/>
      <c r="AO53" s="2"/>
      <c r="AP53" s="72"/>
      <c r="AQ53" s="5"/>
      <c r="AR53" s="5"/>
      <c r="AS53" s="28"/>
      <c r="AT53" s="28"/>
    </row>
    <row r="54" spans="1:46" x14ac:dyDescent="0.2">
      <c r="A54" s="2">
        <v>42095</v>
      </c>
      <c r="B54">
        <f t="shared" si="3"/>
        <v>2015</v>
      </c>
      <c r="C54">
        <f t="shared" si="4"/>
        <v>4</v>
      </c>
      <c r="D54" s="88">
        <v>7175293.9469879493</v>
      </c>
      <c r="E54" s="88">
        <v>194937.46716045527</v>
      </c>
      <c r="F54" s="88">
        <v>7370231.4141484043</v>
      </c>
      <c r="G54" s="78">
        <v>195.89999999999998</v>
      </c>
      <c r="H54" s="78">
        <v>2.1999999999999993</v>
      </c>
      <c r="I54" s="30">
        <v>0</v>
      </c>
      <c r="J54" s="30">
        <v>2549</v>
      </c>
      <c r="K54" s="30">
        <v>52</v>
      </c>
      <c r="L54" s="81">
        <v>0</v>
      </c>
      <c r="M54" s="30">
        <f t="shared" si="5"/>
        <v>7097684.4428893207</v>
      </c>
      <c r="N54" s="30">
        <f t="shared" si="6"/>
        <v>6902746.9757288657</v>
      </c>
      <c r="O54" s="30">
        <f t="shared" si="7"/>
        <v>-272546.9712590836</v>
      </c>
      <c r="P54" s="48">
        <f t="shared" si="8"/>
        <v>3.6979431980369522E-2</v>
      </c>
      <c r="AC54" s="2"/>
      <c r="AG54" s="2"/>
      <c r="AK54" s="2"/>
      <c r="AL54" s="72"/>
      <c r="AM54" s="5"/>
      <c r="AN54" s="5"/>
      <c r="AO54" s="2"/>
      <c r="AP54" s="72"/>
      <c r="AQ54" s="5"/>
      <c r="AR54" s="5"/>
      <c r="AS54" s="28"/>
      <c r="AT54" s="28"/>
    </row>
    <row r="55" spans="1:46" x14ac:dyDescent="0.2">
      <c r="A55" s="2">
        <v>42125</v>
      </c>
      <c r="B55">
        <f t="shared" si="3"/>
        <v>2015</v>
      </c>
      <c r="C55">
        <f t="shared" si="4"/>
        <v>5</v>
      </c>
      <c r="D55" s="88">
        <v>6882245.3012048155</v>
      </c>
      <c r="E55" s="88">
        <v>194937.46716045527</v>
      </c>
      <c r="F55" s="88">
        <v>7077182.7683652705</v>
      </c>
      <c r="G55" s="78">
        <v>31.1</v>
      </c>
      <c r="H55" s="78">
        <v>99.9</v>
      </c>
      <c r="I55" s="30">
        <v>0</v>
      </c>
      <c r="J55" s="30">
        <v>2546</v>
      </c>
      <c r="K55" s="30">
        <v>53</v>
      </c>
      <c r="L55" s="81">
        <v>0</v>
      </c>
      <c r="M55" s="30">
        <f t="shared" si="5"/>
        <v>6987866.6766590048</v>
      </c>
      <c r="N55" s="30">
        <f t="shared" si="6"/>
        <v>6792929.2094985498</v>
      </c>
      <c r="O55" s="30">
        <f t="shared" si="7"/>
        <v>-89316.091706265695</v>
      </c>
      <c r="P55" s="48">
        <f t="shared" si="8"/>
        <v>1.2620288980737523E-2</v>
      </c>
      <c r="AC55" s="2"/>
      <c r="AG55" s="2"/>
      <c r="AK55" s="2"/>
      <c r="AL55" s="72"/>
      <c r="AM55" s="5"/>
      <c r="AN55" s="5"/>
      <c r="AO55" s="2"/>
      <c r="AP55" s="72"/>
      <c r="AQ55" s="5"/>
      <c r="AR55" s="5"/>
      <c r="AS55" s="28"/>
      <c r="AT55" s="28"/>
    </row>
    <row r="56" spans="1:46" x14ac:dyDescent="0.2">
      <c r="A56" s="2">
        <v>42156</v>
      </c>
      <c r="B56">
        <f t="shared" si="3"/>
        <v>2015</v>
      </c>
      <c r="C56">
        <f t="shared" si="4"/>
        <v>6</v>
      </c>
      <c r="D56" s="88">
        <v>6719082.4385542162</v>
      </c>
      <c r="E56" s="88">
        <v>194937.46716045527</v>
      </c>
      <c r="F56" s="88">
        <v>6914019.9057146711</v>
      </c>
      <c r="G56" s="78">
        <v>2.9999999999999982</v>
      </c>
      <c r="H56" s="78">
        <v>121.5</v>
      </c>
      <c r="I56" s="30">
        <v>0</v>
      </c>
      <c r="J56" s="30">
        <v>2547</v>
      </c>
      <c r="K56" s="30">
        <v>54</v>
      </c>
      <c r="L56" s="81">
        <v>0</v>
      </c>
      <c r="M56" s="30">
        <f t="shared" si="5"/>
        <v>6990865.0539716752</v>
      </c>
      <c r="N56" s="30">
        <f t="shared" si="6"/>
        <v>6795927.5868112203</v>
      </c>
      <c r="O56" s="30">
        <f t="shared" si="7"/>
        <v>76845.148257004097</v>
      </c>
      <c r="P56" s="48">
        <f t="shared" si="8"/>
        <v>1.1114394998123882E-2</v>
      </c>
      <c r="AC56" s="2"/>
      <c r="AG56" s="2"/>
      <c r="AK56" s="2"/>
      <c r="AL56" s="72"/>
      <c r="AM56" s="5"/>
      <c r="AN56" s="5"/>
      <c r="AO56" s="2"/>
      <c r="AP56" s="72"/>
      <c r="AQ56" s="5"/>
      <c r="AR56" s="5"/>
      <c r="AS56" s="28"/>
      <c r="AT56" s="28"/>
    </row>
    <row r="57" spans="1:46" x14ac:dyDescent="0.2">
      <c r="A57" s="2">
        <v>42186</v>
      </c>
      <c r="B57">
        <f t="shared" si="3"/>
        <v>2015</v>
      </c>
      <c r="C57">
        <f t="shared" si="4"/>
        <v>7</v>
      </c>
      <c r="D57" s="88">
        <v>7642373.2048192788</v>
      </c>
      <c r="E57" s="88">
        <v>194937.46716045527</v>
      </c>
      <c r="F57" s="88">
        <v>7837310.6719797337</v>
      </c>
      <c r="G57" s="78">
        <v>0</v>
      </c>
      <c r="H57" s="78">
        <v>234.3</v>
      </c>
      <c r="I57" s="30">
        <v>0</v>
      </c>
      <c r="J57" s="30">
        <v>2538</v>
      </c>
      <c r="K57" s="30">
        <v>55</v>
      </c>
      <c r="L57" s="81">
        <v>0</v>
      </c>
      <c r="M57" s="30">
        <f t="shared" si="5"/>
        <v>7482031.2265511714</v>
      </c>
      <c r="N57" s="30">
        <f t="shared" si="6"/>
        <v>7287093.7593907164</v>
      </c>
      <c r="O57" s="30">
        <f t="shared" si="7"/>
        <v>-355279.44542856235</v>
      </c>
      <c r="P57" s="48">
        <f t="shared" si="8"/>
        <v>4.533180580664891E-2</v>
      </c>
      <c r="AC57" s="2"/>
      <c r="AG57" s="2"/>
      <c r="AK57" s="2"/>
      <c r="AL57" s="72"/>
      <c r="AM57" s="5"/>
      <c r="AN57" s="5"/>
      <c r="AO57" s="2"/>
      <c r="AP57" s="72"/>
      <c r="AQ57" s="5"/>
      <c r="AR57" s="5"/>
      <c r="AS57" s="28"/>
      <c r="AT57" s="28"/>
    </row>
    <row r="58" spans="1:46" x14ac:dyDescent="0.2">
      <c r="A58" s="2">
        <v>42217</v>
      </c>
      <c r="B58">
        <f t="shared" si="3"/>
        <v>2015</v>
      </c>
      <c r="C58">
        <f t="shared" si="4"/>
        <v>8</v>
      </c>
      <c r="D58" s="88">
        <v>7190501.1855421662</v>
      </c>
      <c r="E58" s="88">
        <v>194937.46716045527</v>
      </c>
      <c r="F58" s="88">
        <v>7385438.6527026212</v>
      </c>
      <c r="G58" s="78">
        <v>0</v>
      </c>
      <c r="H58" s="78">
        <v>208.20000000000002</v>
      </c>
      <c r="I58" s="30">
        <v>0</v>
      </c>
      <c r="J58" s="30">
        <v>2537</v>
      </c>
      <c r="K58" s="30">
        <v>56</v>
      </c>
      <c r="L58" s="81">
        <v>0</v>
      </c>
      <c r="M58" s="30">
        <f t="shared" si="5"/>
        <v>7334687.7235257179</v>
      </c>
      <c r="N58" s="30">
        <f t="shared" si="6"/>
        <v>7139750.2563652629</v>
      </c>
      <c r="O58" s="30">
        <f t="shared" si="7"/>
        <v>-50750.92917690333</v>
      </c>
      <c r="P58" s="48">
        <f t="shared" si="8"/>
        <v>6.8717555670618942E-3</v>
      </c>
      <c r="AC58" s="2"/>
      <c r="AG58" s="2"/>
      <c r="AK58" s="2"/>
      <c r="AL58" s="72"/>
      <c r="AM58" s="5"/>
      <c r="AN58" s="5"/>
      <c r="AO58" s="2"/>
      <c r="AP58" s="72"/>
      <c r="AQ58" s="5"/>
      <c r="AR58" s="5"/>
      <c r="AS58" s="28"/>
      <c r="AT58" s="28"/>
    </row>
    <row r="59" spans="1:46" x14ac:dyDescent="0.2">
      <c r="A59" s="2">
        <v>42248</v>
      </c>
      <c r="B59">
        <f t="shared" si="3"/>
        <v>2015</v>
      </c>
      <c r="C59">
        <f t="shared" si="4"/>
        <v>9</v>
      </c>
      <c r="D59" s="88">
        <v>7066672.2313253004</v>
      </c>
      <c r="E59" s="88">
        <v>194937.46716045527</v>
      </c>
      <c r="F59" s="88">
        <v>7261609.6984857554</v>
      </c>
      <c r="G59" s="78">
        <v>3.2999999999999989</v>
      </c>
      <c r="H59" s="78">
        <v>174.09999999999997</v>
      </c>
      <c r="I59" s="30">
        <v>1</v>
      </c>
      <c r="J59" s="30">
        <v>2544</v>
      </c>
      <c r="K59" s="30">
        <v>57</v>
      </c>
      <c r="L59" s="81">
        <v>0</v>
      </c>
      <c r="M59" s="30">
        <f t="shared" si="5"/>
        <v>6912713.8864893289</v>
      </c>
      <c r="N59" s="30">
        <f t="shared" si="6"/>
        <v>6717776.419328874</v>
      </c>
      <c r="O59" s="30">
        <f t="shared" si="7"/>
        <v>-348895.81199642643</v>
      </c>
      <c r="P59" s="48">
        <f t="shared" si="8"/>
        <v>4.8046621408085424E-2</v>
      </c>
      <c r="AC59" s="2"/>
      <c r="AG59" s="2"/>
      <c r="AK59" s="2"/>
      <c r="AL59" s="72"/>
      <c r="AM59" s="5"/>
      <c r="AN59" s="5"/>
      <c r="AO59" s="2"/>
      <c r="AP59" s="72"/>
      <c r="AQ59" s="5"/>
      <c r="AR59" s="5"/>
      <c r="AS59" s="28"/>
      <c r="AT59" s="28"/>
    </row>
    <row r="60" spans="1:46" x14ac:dyDescent="0.2">
      <c r="A60" s="2">
        <v>42278</v>
      </c>
      <c r="B60">
        <f t="shared" si="3"/>
        <v>2015</v>
      </c>
      <c r="C60">
        <f t="shared" si="4"/>
        <v>10</v>
      </c>
      <c r="D60" s="88">
        <v>6796226.5349397603</v>
      </c>
      <c r="E60" s="88">
        <v>194937.46716045527</v>
      </c>
      <c r="F60" s="88">
        <v>6991164.0021002153</v>
      </c>
      <c r="G60" s="78">
        <v>135.30000000000001</v>
      </c>
      <c r="H60" s="78">
        <v>9.4999999999999982</v>
      </c>
      <c r="I60" s="30">
        <v>1</v>
      </c>
      <c r="J60" s="30">
        <v>2557</v>
      </c>
      <c r="K60" s="30">
        <v>58</v>
      </c>
      <c r="L60" s="81">
        <v>0</v>
      </c>
      <c r="M60" s="30">
        <f t="shared" si="5"/>
        <v>6603176.9151803246</v>
      </c>
      <c r="N60" s="30">
        <f t="shared" si="6"/>
        <v>6408239.4480198696</v>
      </c>
      <c r="O60" s="30">
        <f t="shared" si="7"/>
        <v>-387987.08691989072</v>
      </c>
      <c r="P60" s="48">
        <f t="shared" si="8"/>
        <v>5.5496779478114877E-2</v>
      </c>
      <c r="AC60" s="2"/>
      <c r="AG60" s="2"/>
      <c r="AK60" s="2"/>
      <c r="AL60" s="72"/>
      <c r="AM60" s="5"/>
      <c r="AN60" s="5"/>
      <c r="AO60" s="2"/>
      <c r="AP60" s="72"/>
      <c r="AQ60" s="5"/>
      <c r="AR60" s="5"/>
      <c r="AS60" s="28"/>
      <c r="AT60" s="28"/>
    </row>
    <row r="61" spans="1:46" x14ac:dyDescent="0.2">
      <c r="A61" s="2">
        <v>42309</v>
      </c>
      <c r="B61">
        <f t="shared" si="3"/>
        <v>2015</v>
      </c>
      <c r="C61">
        <f t="shared" si="4"/>
        <v>11</v>
      </c>
      <c r="D61" s="88">
        <v>6323671.9614457851</v>
      </c>
      <c r="E61" s="88">
        <v>194937.46716045527</v>
      </c>
      <c r="F61" s="88">
        <v>6518609.4286062401</v>
      </c>
      <c r="G61" s="78">
        <v>227.2</v>
      </c>
      <c r="H61" s="78">
        <v>2.1999999999999993</v>
      </c>
      <c r="I61" s="30">
        <v>1</v>
      </c>
      <c r="J61" s="30">
        <v>2574</v>
      </c>
      <c r="K61" s="30">
        <v>59</v>
      </c>
      <c r="L61" s="81">
        <v>0</v>
      </c>
      <c r="M61" s="30">
        <f t="shared" si="5"/>
        <v>6957020.5093895048</v>
      </c>
      <c r="N61" s="30">
        <f t="shared" si="6"/>
        <v>6762083.0422290498</v>
      </c>
      <c r="O61" s="30">
        <f t="shared" si="7"/>
        <v>438411.08078326471</v>
      </c>
      <c r="P61" s="48">
        <f t="shared" si="8"/>
        <v>6.7255307375733125E-2</v>
      </c>
      <c r="AC61" s="2"/>
      <c r="AL61" s="5"/>
      <c r="AM61" s="5"/>
      <c r="AN61" s="5"/>
      <c r="AO61" s="5"/>
      <c r="AP61" s="5"/>
      <c r="AQ61" s="5"/>
      <c r="AS61" s="28"/>
      <c r="AT61" s="28"/>
    </row>
    <row r="62" spans="1:46" x14ac:dyDescent="0.2">
      <c r="A62" s="2">
        <v>42339</v>
      </c>
      <c r="B62">
        <f t="shared" si="3"/>
        <v>2015</v>
      </c>
      <c r="C62">
        <f t="shared" si="4"/>
        <v>12</v>
      </c>
      <c r="D62" s="88">
        <v>6695925.5710843336</v>
      </c>
      <c r="E62" s="88">
        <v>194937.46716045527</v>
      </c>
      <c r="F62" s="88">
        <v>6890863.0382447885</v>
      </c>
      <c r="G62" s="78">
        <v>305.7</v>
      </c>
      <c r="H62" s="78">
        <v>0</v>
      </c>
      <c r="I62" s="30">
        <v>0</v>
      </c>
      <c r="J62" s="30">
        <v>2574</v>
      </c>
      <c r="K62" s="30">
        <v>60</v>
      </c>
      <c r="L62" s="81">
        <v>0</v>
      </c>
      <c r="M62" s="30">
        <f t="shared" si="5"/>
        <v>7490494.7189053195</v>
      </c>
      <c r="N62" s="30">
        <f t="shared" si="6"/>
        <v>7295557.2517448645</v>
      </c>
      <c r="O62" s="30">
        <f t="shared" si="7"/>
        <v>599631.68066053092</v>
      </c>
      <c r="P62" s="48">
        <f t="shared" si="8"/>
        <v>8.7018371622325341E-2</v>
      </c>
      <c r="AC62" s="2"/>
      <c r="AL62" s="5"/>
      <c r="AM62" s="5"/>
      <c r="AN62" s="5"/>
      <c r="AO62" s="5"/>
      <c r="AP62" s="5"/>
    </row>
    <row r="63" spans="1:46" x14ac:dyDescent="0.2">
      <c r="A63" s="2">
        <v>42370</v>
      </c>
      <c r="B63">
        <f t="shared" si="3"/>
        <v>2016</v>
      </c>
      <c r="C63">
        <f t="shared" si="4"/>
        <v>1</v>
      </c>
      <c r="D63" s="88">
        <v>8357389.1277108472</v>
      </c>
      <c r="E63" s="88">
        <v>331866.97414415696</v>
      </c>
      <c r="F63" s="88">
        <v>8689256.1018550042</v>
      </c>
      <c r="G63" s="78">
        <v>546.4</v>
      </c>
      <c r="H63" s="78">
        <v>0</v>
      </c>
      <c r="I63" s="30">
        <v>0</v>
      </c>
      <c r="J63" s="30">
        <v>2571</v>
      </c>
      <c r="K63" s="30">
        <v>61</v>
      </c>
      <c r="L63" s="81">
        <v>0</v>
      </c>
      <c r="M63" s="30">
        <f t="shared" si="5"/>
        <v>8290542.8483039821</v>
      </c>
      <c r="N63" s="30">
        <f t="shared" si="6"/>
        <v>7958675.874159825</v>
      </c>
      <c r="O63" s="30">
        <f t="shared" si="7"/>
        <v>-398713.25355102215</v>
      </c>
      <c r="P63" s="48">
        <f t="shared" si="8"/>
        <v>4.5885775361817663E-2</v>
      </c>
    </row>
    <row r="64" spans="1:46" x14ac:dyDescent="0.2">
      <c r="A64" s="2">
        <v>42401</v>
      </c>
      <c r="B64">
        <f t="shared" si="3"/>
        <v>2016</v>
      </c>
      <c r="C64">
        <f t="shared" si="4"/>
        <v>2</v>
      </c>
      <c r="D64" s="88">
        <v>8192805.8506024061</v>
      </c>
      <c r="E64" s="88">
        <v>331866.97414415696</v>
      </c>
      <c r="F64" s="88">
        <v>8524672.8247465622</v>
      </c>
      <c r="G64" s="78">
        <v>472.40000000000009</v>
      </c>
      <c r="H64" s="78">
        <v>0</v>
      </c>
      <c r="I64" s="30">
        <v>0</v>
      </c>
      <c r="J64" s="30">
        <v>2577</v>
      </c>
      <c r="K64" s="30">
        <v>62</v>
      </c>
      <c r="L64" s="81">
        <v>0</v>
      </c>
      <c r="M64" s="30">
        <f t="shared" si="5"/>
        <v>8053885.8799757557</v>
      </c>
      <c r="N64" s="30">
        <f t="shared" si="6"/>
        <v>7722018.9058315987</v>
      </c>
      <c r="O64" s="30">
        <f t="shared" si="7"/>
        <v>-470786.94477080647</v>
      </c>
      <c r="P64" s="48">
        <f t="shared" si="8"/>
        <v>5.5226394543159835E-2</v>
      </c>
    </row>
    <row r="65" spans="1:16" x14ac:dyDescent="0.2">
      <c r="A65" s="2">
        <v>42430</v>
      </c>
      <c r="B65">
        <f t="shared" si="3"/>
        <v>2016</v>
      </c>
      <c r="C65">
        <f t="shared" si="4"/>
        <v>3</v>
      </c>
      <c r="D65" s="88">
        <v>7702210.1783132562</v>
      </c>
      <c r="E65" s="88">
        <v>331866.97414415696</v>
      </c>
      <c r="F65" s="88">
        <v>8034077.1524574133</v>
      </c>
      <c r="G65" s="78">
        <v>352.09999999999985</v>
      </c>
      <c r="H65" s="78">
        <v>0</v>
      </c>
      <c r="I65" s="30">
        <v>0</v>
      </c>
      <c r="J65" s="30">
        <v>2605</v>
      </c>
      <c r="K65" s="30">
        <v>63</v>
      </c>
      <c r="L65" s="81">
        <v>0</v>
      </c>
      <c r="M65" s="30">
        <f t="shared" si="5"/>
        <v>7770055.7110678274</v>
      </c>
      <c r="N65" s="30">
        <f t="shared" si="6"/>
        <v>7438188.7369236704</v>
      </c>
      <c r="O65" s="30">
        <f t="shared" si="7"/>
        <v>-264021.44138958585</v>
      </c>
      <c r="P65" s="48">
        <f t="shared" si="8"/>
        <v>3.2862696782645237E-2</v>
      </c>
    </row>
    <row r="66" spans="1:16" x14ac:dyDescent="0.2">
      <c r="A66" s="2">
        <v>42461</v>
      </c>
      <c r="B66">
        <f t="shared" si="3"/>
        <v>2016</v>
      </c>
      <c r="C66">
        <f t="shared" si="4"/>
        <v>4</v>
      </c>
      <c r="D66" s="88">
        <v>7574603.3349397629</v>
      </c>
      <c r="E66" s="88">
        <v>331866.97414415696</v>
      </c>
      <c r="F66" s="88">
        <v>7906470.30908392</v>
      </c>
      <c r="G66" s="78">
        <v>277.10000000000008</v>
      </c>
      <c r="H66" s="78">
        <v>2.3000000000000007</v>
      </c>
      <c r="I66" s="30">
        <v>0</v>
      </c>
      <c r="J66" s="30">
        <v>2601</v>
      </c>
      <c r="K66" s="30">
        <v>64</v>
      </c>
      <c r="L66" s="81">
        <v>0</v>
      </c>
      <c r="M66" s="30">
        <f t="shared" si="5"/>
        <v>7490423.8034446761</v>
      </c>
      <c r="N66" s="30">
        <f t="shared" si="6"/>
        <v>7158556.8293005191</v>
      </c>
      <c r="O66" s="30">
        <f t="shared" si="7"/>
        <v>-416046.50563924387</v>
      </c>
      <c r="P66" s="48">
        <f t="shared" si="8"/>
        <v>5.2621016632572286E-2</v>
      </c>
    </row>
    <row r="67" spans="1:16" x14ac:dyDescent="0.2">
      <c r="A67" s="2">
        <v>42491</v>
      </c>
      <c r="B67">
        <f t="shared" si="3"/>
        <v>2016</v>
      </c>
      <c r="C67">
        <f t="shared" si="4"/>
        <v>5</v>
      </c>
      <c r="D67" s="88">
        <v>6410930.6313253017</v>
      </c>
      <c r="E67" s="88">
        <v>331866.97414415696</v>
      </c>
      <c r="F67" s="88">
        <v>6742797.6054694587</v>
      </c>
      <c r="G67" s="78">
        <v>66.599999999999994</v>
      </c>
      <c r="H67" s="78">
        <v>85</v>
      </c>
      <c r="I67" s="30">
        <v>0</v>
      </c>
      <c r="J67" s="30">
        <v>2598</v>
      </c>
      <c r="K67" s="30">
        <v>65</v>
      </c>
      <c r="L67" s="81">
        <v>0</v>
      </c>
      <c r="M67" s="30">
        <f t="shared" si="5"/>
        <v>7148928.6602540938</v>
      </c>
      <c r="N67" s="30">
        <f t="shared" ref="N67:N98" si="9">M67-E67</f>
        <v>6817061.6861099368</v>
      </c>
      <c r="O67" s="30">
        <f t="shared" ref="O67:O98" si="10">+M67-F67</f>
        <v>406131.05478463508</v>
      </c>
      <c r="P67" s="48">
        <f t="shared" ref="P67:P98" si="11">ABS(O67/F67)</f>
        <v>6.0231832326570138E-2</v>
      </c>
    </row>
    <row r="68" spans="1:16" x14ac:dyDescent="0.2">
      <c r="A68" s="2">
        <v>42522</v>
      </c>
      <c r="B68">
        <f t="shared" ref="B68:B127" si="12">YEAR(A68)</f>
        <v>2016</v>
      </c>
      <c r="C68">
        <f t="shared" ref="C68:C127" si="13">MONTH(A68)</f>
        <v>6</v>
      </c>
      <c r="D68" s="88">
        <v>7343347.5469879536</v>
      </c>
      <c r="E68" s="88">
        <v>331866.97414415696</v>
      </c>
      <c r="F68" s="88">
        <v>7675214.5211321106</v>
      </c>
      <c r="G68" s="78">
        <v>3.0999999999999996</v>
      </c>
      <c r="H68" s="78">
        <v>182.6</v>
      </c>
      <c r="I68" s="30">
        <v>0</v>
      </c>
      <c r="J68" s="30">
        <v>2602</v>
      </c>
      <c r="K68" s="30">
        <v>66</v>
      </c>
      <c r="L68" s="81">
        <v>0</v>
      </c>
      <c r="M68" s="30">
        <f t="shared" ref="M68:M127" si="14">$R$19+G68*$R$20+H68*$R$21+I68*$R$22+J68*$R$23+K68*$R$24+L68*$R$25</f>
        <v>7422752.5389389889</v>
      </c>
      <c r="N68" s="30">
        <f t="shared" si="9"/>
        <v>7090885.5647948319</v>
      </c>
      <c r="O68" s="30">
        <f t="shared" si="10"/>
        <v>-252461.98219312169</v>
      </c>
      <c r="P68" s="48">
        <f t="shared" si="11"/>
        <v>3.2893149956658541E-2</v>
      </c>
    </row>
    <row r="69" spans="1:16" x14ac:dyDescent="0.2">
      <c r="A69" s="2">
        <v>42552</v>
      </c>
      <c r="B69">
        <f t="shared" si="12"/>
        <v>2016</v>
      </c>
      <c r="C69">
        <f t="shared" si="13"/>
        <v>7</v>
      </c>
      <c r="D69" s="88">
        <v>7871478.3710843381</v>
      </c>
      <c r="E69" s="88">
        <v>331866.97414415696</v>
      </c>
      <c r="F69" s="88">
        <v>8203345.3452284951</v>
      </c>
      <c r="G69" s="78">
        <v>0</v>
      </c>
      <c r="H69" s="78">
        <v>300.89999999999998</v>
      </c>
      <c r="I69" s="30">
        <v>0</v>
      </c>
      <c r="J69" s="30">
        <v>2606</v>
      </c>
      <c r="K69" s="30">
        <v>67</v>
      </c>
      <c r="L69" s="81">
        <v>0</v>
      </c>
      <c r="M69" s="30">
        <f t="shared" si="14"/>
        <v>8007120.1966122845</v>
      </c>
      <c r="N69" s="30">
        <f t="shared" si="9"/>
        <v>7675253.2224681275</v>
      </c>
      <c r="O69" s="30">
        <f t="shared" si="10"/>
        <v>-196225.14861621056</v>
      </c>
      <c r="P69" s="48">
        <f t="shared" si="11"/>
        <v>2.3920137499800081E-2</v>
      </c>
    </row>
    <row r="70" spans="1:16" x14ac:dyDescent="0.2">
      <c r="A70" s="2">
        <v>42583</v>
      </c>
      <c r="B70">
        <f t="shared" si="12"/>
        <v>2016</v>
      </c>
      <c r="C70">
        <f t="shared" si="13"/>
        <v>8</v>
      </c>
      <c r="D70" s="88">
        <v>7755227.0457831379</v>
      </c>
      <c r="E70" s="88">
        <v>331866.97414415696</v>
      </c>
      <c r="F70" s="88">
        <v>8087094.0199272949</v>
      </c>
      <c r="G70" s="78">
        <v>0</v>
      </c>
      <c r="H70" s="78">
        <v>319.40000000000003</v>
      </c>
      <c r="I70" s="30">
        <v>0</v>
      </c>
      <c r="J70" s="30">
        <v>2607</v>
      </c>
      <c r="K70" s="30">
        <v>68</v>
      </c>
      <c r="L70" s="81">
        <v>0</v>
      </c>
      <c r="M70" s="30">
        <f t="shared" si="14"/>
        <v>8091391.6898445217</v>
      </c>
      <c r="N70" s="30">
        <f t="shared" si="9"/>
        <v>7759524.7157003647</v>
      </c>
      <c r="O70" s="30">
        <f t="shared" si="10"/>
        <v>4297.669917226769</v>
      </c>
      <c r="P70" s="48">
        <f t="shared" si="11"/>
        <v>5.314232660875391E-4</v>
      </c>
    </row>
    <row r="71" spans="1:16" x14ac:dyDescent="0.2">
      <c r="A71" s="2">
        <v>42614</v>
      </c>
      <c r="B71">
        <f t="shared" si="12"/>
        <v>2016</v>
      </c>
      <c r="C71">
        <f t="shared" si="13"/>
        <v>9</v>
      </c>
      <c r="D71" s="88">
        <v>7032991.7686746987</v>
      </c>
      <c r="E71" s="88">
        <v>331866.97414415696</v>
      </c>
      <c r="F71" s="88">
        <v>7364858.7428188557</v>
      </c>
      <c r="G71" s="78">
        <v>1.2999999999999989</v>
      </c>
      <c r="H71" s="78">
        <v>164.79999999999998</v>
      </c>
      <c r="I71" s="30">
        <v>1</v>
      </c>
      <c r="J71" s="30">
        <v>2608</v>
      </c>
      <c r="K71" s="30">
        <v>69</v>
      </c>
      <c r="L71" s="81">
        <v>0</v>
      </c>
      <c r="M71" s="30">
        <f t="shared" si="14"/>
        <v>7033722.9968360774</v>
      </c>
      <c r="N71" s="30">
        <f t="shared" si="9"/>
        <v>6701856.0226919204</v>
      </c>
      <c r="O71" s="30">
        <f t="shared" si="10"/>
        <v>-331135.74598277826</v>
      </c>
      <c r="P71" s="48">
        <f t="shared" si="11"/>
        <v>4.4961588205022114E-2</v>
      </c>
    </row>
    <row r="72" spans="1:16" x14ac:dyDescent="0.2">
      <c r="A72" s="2">
        <v>42644</v>
      </c>
      <c r="B72">
        <f t="shared" si="12"/>
        <v>2016</v>
      </c>
      <c r="C72">
        <f t="shared" si="13"/>
        <v>10</v>
      </c>
      <c r="D72" s="88">
        <v>6150053.96626506</v>
      </c>
      <c r="E72" s="88">
        <v>331866.97414415696</v>
      </c>
      <c r="F72" s="88">
        <v>6481920.940409217</v>
      </c>
      <c r="G72" s="78">
        <v>105.89999999999999</v>
      </c>
      <c r="H72" s="78">
        <v>39.800000000000004</v>
      </c>
      <c r="I72" s="30">
        <v>1</v>
      </c>
      <c r="J72" s="30">
        <v>2614</v>
      </c>
      <c r="K72" s="30">
        <v>70</v>
      </c>
      <c r="L72" s="81">
        <v>0</v>
      </c>
      <c r="M72" s="30">
        <f t="shared" si="14"/>
        <v>6790863.7489012033</v>
      </c>
      <c r="N72" s="30">
        <f t="shared" si="9"/>
        <v>6458996.7747570463</v>
      </c>
      <c r="O72" s="30">
        <f t="shared" si="10"/>
        <v>308942.80849198624</v>
      </c>
      <c r="P72" s="48">
        <f t="shared" si="11"/>
        <v>4.7662230275903682E-2</v>
      </c>
    </row>
    <row r="73" spans="1:16" x14ac:dyDescent="0.2">
      <c r="A73" s="2">
        <v>42675</v>
      </c>
      <c r="B73">
        <f t="shared" si="12"/>
        <v>2016</v>
      </c>
      <c r="C73">
        <f t="shared" si="13"/>
        <v>11</v>
      </c>
      <c r="D73" s="88">
        <v>6266723.7204819247</v>
      </c>
      <c r="E73" s="88">
        <v>331866.97414415696</v>
      </c>
      <c r="F73" s="88">
        <v>6598590.6946260817</v>
      </c>
      <c r="G73" s="78">
        <v>218.89999999999995</v>
      </c>
      <c r="H73" s="78">
        <v>1.0999999999999996</v>
      </c>
      <c r="I73" s="30">
        <v>1</v>
      </c>
      <c r="J73" s="30">
        <v>2621</v>
      </c>
      <c r="K73" s="30">
        <v>71</v>
      </c>
      <c r="L73" s="81">
        <v>0</v>
      </c>
      <c r="M73" s="30">
        <f t="shared" si="14"/>
        <v>7010446.7218000563</v>
      </c>
      <c r="N73" s="30">
        <f t="shared" si="9"/>
        <v>6678579.7476558993</v>
      </c>
      <c r="O73" s="30">
        <f t="shared" si="10"/>
        <v>411856.02717397455</v>
      </c>
      <c r="P73" s="48">
        <f t="shared" si="11"/>
        <v>6.2415756065820498E-2</v>
      </c>
    </row>
    <row r="74" spans="1:16" x14ac:dyDescent="0.2">
      <c r="A74" s="2">
        <v>42705</v>
      </c>
      <c r="B74">
        <f t="shared" si="12"/>
        <v>2016</v>
      </c>
      <c r="C74">
        <f t="shared" si="13"/>
        <v>12</v>
      </c>
      <c r="D74" s="88">
        <v>8092166.8722891547</v>
      </c>
      <c r="E74" s="88">
        <v>331866.97414415696</v>
      </c>
      <c r="F74" s="88">
        <v>8424033.8464333117</v>
      </c>
      <c r="G74" s="78">
        <v>483.99999999999989</v>
      </c>
      <c r="H74" s="78">
        <v>0</v>
      </c>
      <c r="I74" s="30">
        <v>0</v>
      </c>
      <c r="J74" s="30">
        <v>2625</v>
      </c>
      <c r="K74" s="30">
        <v>72</v>
      </c>
      <c r="L74" s="81">
        <v>0</v>
      </c>
      <c r="M74" s="30">
        <f t="shared" si="14"/>
        <v>8211664.8306099828</v>
      </c>
      <c r="N74" s="30">
        <f t="shared" si="9"/>
        <v>7879797.8564658258</v>
      </c>
      <c r="O74" s="30">
        <f t="shared" si="10"/>
        <v>-212369.01582332887</v>
      </c>
      <c r="P74" s="48">
        <f t="shared" si="11"/>
        <v>2.5209895840250535E-2</v>
      </c>
    </row>
    <row r="75" spans="1:16" x14ac:dyDescent="0.2">
      <c r="A75" s="2">
        <v>42736</v>
      </c>
      <c r="B75">
        <f t="shared" si="12"/>
        <v>2017</v>
      </c>
      <c r="C75">
        <f t="shared" si="13"/>
        <v>1</v>
      </c>
      <c r="D75" s="88">
        <v>8536456.1253012065</v>
      </c>
      <c r="E75" s="88">
        <v>425326.81217228295</v>
      </c>
      <c r="F75" s="88">
        <v>8961782.937473489</v>
      </c>
      <c r="G75" s="78">
        <v>484.9</v>
      </c>
      <c r="H75" s="78">
        <v>0</v>
      </c>
      <c r="I75" s="30">
        <v>0</v>
      </c>
      <c r="J75" s="30">
        <v>2632</v>
      </c>
      <c r="K75" s="30">
        <v>73</v>
      </c>
      <c r="L75" s="81">
        <v>0</v>
      </c>
      <c r="M75" s="30">
        <f t="shared" si="14"/>
        <v>8237758.1420435263</v>
      </c>
      <c r="N75" s="30">
        <f t="shared" si="9"/>
        <v>7812431.3298712429</v>
      </c>
      <c r="O75" s="30">
        <f t="shared" si="10"/>
        <v>-724024.79542996269</v>
      </c>
      <c r="P75" s="48">
        <f t="shared" si="11"/>
        <v>8.0790262437898344E-2</v>
      </c>
    </row>
    <row r="76" spans="1:16" x14ac:dyDescent="0.2">
      <c r="A76" s="2">
        <v>42767</v>
      </c>
      <c r="B76">
        <f t="shared" si="12"/>
        <v>2017</v>
      </c>
      <c r="C76">
        <f t="shared" si="13"/>
        <v>2</v>
      </c>
      <c r="D76" s="88">
        <v>7050356.7518072287</v>
      </c>
      <c r="E76" s="88">
        <v>425326.81217228295</v>
      </c>
      <c r="F76" s="88">
        <v>7475683.5639795121</v>
      </c>
      <c r="G76" s="78">
        <v>398.4</v>
      </c>
      <c r="H76" s="78">
        <v>0</v>
      </c>
      <c r="I76" s="30">
        <v>0</v>
      </c>
      <c r="J76" s="30">
        <v>2632</v>
      </c>
      <c r="K76" s="30">
        <v>74</v>
      </c>
      <c r="L76" s="81">
        <v>0</v>
      </c>
      <c r="M76" s="30">
        <f t="shared" si="14"/>
        <v>7927529.139408567</v>
      </c>
      <c r="N76" s="30">
        <f t="shared" si="9"/>
        <v>7502202.3272362836</v>
      </c>
      <c r="O76" s="30">
        <f t="shared" si="10"/>
        <v>451845.57542905491</v>
      </c>
      <c r="P76" s="48">
        <f t="shared" si="11"/>
        <v>6.0442041394877487E-2</v>
      </c>
    </row>
    <row r="77" spans="1:16" x14ac:dyDescent="0.2">
      <c r="A77" s="2">
        <v>42795</v>
      </c>
      <c r="B77">
        <f t="shared" si="12"/>
        <v>2017</v>
      </c>
      <c r="C77">
        <f t="shared" si="13"/>
        <v>3</v>
      </c>
      <c r="D77" s="88">
        <v>7960777.1951807197</v>
      </c>
      <c r="E77" s="88">
        <v>425326.81217228295</v>
      </c>
      <c r="F77" s="88">
        <v>8386104.0073530022</v>
      </c>
      <c r="G77" s="78">
        <v>450</v>
      </c>
      <c r="H77" s="78">
        <v>0</v>
      </c>
      <c r="I77" s="30">
        <v>0</v>
      </c>
      <c r="J77" s="30">
        <v>2641</v>
      </c>
      <c r="K77" s="30">
        <v>75</v>
      </c>
      <c r="L77" s="81">
        <v>0</v>
      </c>
      <c r="M77" s="30">
        <f t="shared" si="14"/>
        <v>8138220.4520077836</v>
      </c>
      <c r="N77" s="30">
        <f t="shared" si="9"/>
        <v>7712893.6398355011</v>
      </c>
      <c r="O77" s="30">
        <f t="shared" si="10"/>
        <v>-247883.55534521863</v>
      </c>
      <c r="P77" s="48">
        <f t="shared" si="11"/>
        <v>2.9558845815395609E-2</v>
      </c>
    </row>
    <row r="78" spans="1:16" x14ac:dyDescent="0.2">
      <c r="A78" s="2">
        <v>42826</v>
      </c>
      <c r="B78">
        <f t="shared" si="12"/>
        <v>2017</v>
      </c>
      <c r="C78">
        <f t="shared" si="13"/>
        <v>4</v>
      </c>
      <c r="D78" s="88">
        <v>6536291.9132530158</v>
      </c>
      <c r="E78" s="88">
        <v>425326.81217228295</v>
      </c>
      <c r="F78" s="88">
        <v>6961618.7254252993</v>
      </c>
      <c r="G78" s="78">
        <v>145.9</v>
      </c>
      <c r="H78" s="78">
        <v>8.3999999999999986</v>
      </c>
      <c r="I78" s="30">
        <v>0</v>
      </c>
      <c r="J78" s="30">
        <v>2638</v>
      </c>
      <c r="K78" s="30">
        <v>76</v>
      </c>
      <c r="L78" s="81">
        <v>0</v>
      </c>
      <c r="M78" s="30">
        <f t="shared" si="14"/>
        <v>7105867.7301948145</v>
      </c>
      <c r="N78" s="30">
        <f t="shared" si="9"/>
        <v>6680540.918022532</v>
      </c>
      <c r="O78" s="30">
        <f t="shared" si="10"/>
        <v>144249.00476951525</v>
      </c>
      <c r="P78" s="48">
        <f t="shared" si="11"/>
        <v>2.0720612613081994E-2</v>
      </c>
    </row>
    <row r="79" spans="1:16" x14ac:dyDescent="0.2">
      <c r="A79" s="2">
        <v>42856</v>
      </c>
      <c r="B79">
        <f t="shared" si="12"/>
        <v>2017</v>
      </c>
      <c r="C79">
        <f t="shared" si="13"/>
        <v>5</v>
      </c>
      <c r="D79" s="88">
        <v>6062612.0385542186</v>
      </c>
      <c r="E79" s="88">
        <v>425326.81217228295</v>
      </c>
      <c r="F79" s="88">
        <v>6487938.850726502</v>
      </c>
      <c r="G79" s="78">
        <v>82.59999999999998</v>
      </c>
      <c r="H79" s="78">
        <v>38.6</v>
      </c>
      <c r="I79" s="30">
        <v>0</v>
      </c>
      <c r="J79" s="30">
        <v>2624</v>
      </c>
      <c r="K79" s="30">
        <v>77</v>
      </c>
      <c r="L79" s="81">
        <v>0</v>
      </c>
      <c r="M79" s="30">
        <f t="shared" si="14"/>
        <v>6954044.2364864638</v>
      </c>
      <c r="N79" s="30">
        <f t="shared" si="9"/>
        <v>6528717.4243141804</v>
      </c>
      <c r="O79" s="30">
        <f t="shared" si="10"/>
        <v>466105.38575996179</v>
      </c>
      <c r="P79" s="48">
        <f t="shared" si="11"/>
        <v>7.1841827810656469E-2</v>
      </c>
    </row>
    <row r="80" spans="1:16" x14ac:dyDescent="0.2">
      <c r="A80" s="2">
        <v>42887</v>
      </c>
      <c r="B80">
        <f t="shared" si="12"/>
        <v>2017</v>
      </c>
      <c r="C80">
        <f t="shared" si="13"/>
        <v>6</v>
      </c>
      <c r="D80" s="88">
        <v>6670926.1301204795</v>
      </c>
      <c r="E80" s="88">
        <v>425326.81217228295</v>
      </c>
      <c r="F80" s="88">
        <v>7096252.9422927629</v>
      </c>
      <c r="G80" s="78">
        <v>0.70000000000000107</v>
      </c>
      <c r="H80" s="78">
        <v>162.19999999999999</v>
      </c>
      <c r="I80" s="30">
        <v>0</v>
      </c>
      <c r="J80" s="30">
        <v>2633</v>
      </c>
      <c r="K80" s="30">
        <v>78</v>
      </c>
      <c r="L80" s="81">
        <v>0</v>
      </c>
      <c r="M80" s="30">
        <f t="shared" si="14"/>
        <v>7319130.6353747137</v>
      </c>
      <c r="N80" s="30">
        <f t="shared" si="9"/>
        <v>6893803.8232024312</v>
      </c>
      <c r="O80" s="30">
        <f t="shared" si="10"/>
        <v>222877.69308195077</v>
      </c>
      <c r="P80" s="48">
        <f t="shared" si="11"/>
        <v>3.1407799988868508E-2</v>
      </c>
    </row>
    <row r="81" spans="1:30" x14ac:dyDescent="0.2">
      <c r="A81" s="2">
        <v>42917</v>
      </c>
      <c r="B81">
        <f t="shared" si="12"/>
        <v>2017</v>
      </c>
      <c r="C81">
        <f t="shared" si="13"/>
        <v>7</v>
      </c>
      <c r="D81" s="88">
        <v>6544660.1638554176</v>
      </c>
      <c r="E81" s="88">
        <v>425326.81217228295</v>
      </c>
      <c r="F81" s="88">
        <v>6969986.9760277011</v>
      </c>
      <c r="G81" s="78">
        <v>0</v>
      </c>
      <c r="H81" s="78">
        <v>240.50000000000009</v>
      </c>
      <c r="I81" s="30">
        <v>0</v>
      </c>
      <c r="J81" s="30">
        <v>2648</v>
      </c>
      <c r="K81" s="30">
        <v>79</v>
      </c>
      <c r="L81" s="81">
        <v>0</v>
      </c>
      <c r="M81" s="30">
        <f t="shared" si="14"/>
        <v>7769216.5430093063</v>
      </c>
      <c r="N81" s="30">
        <f t="shared" si="9"/>
        <v>7343889.7308370229</v>
      </c>
      <c r="O81" s="30">
        <f t="shared" si="10"/>
        <v>799229.56698160525</v>
      </c>
      <c r="P81" s="48">
        <f t="shared" si="11"/>
        <v>0.11466729704523752</v>
      </c>
    </row>
    <row r="82" spans="1:30" x14ac:dyDescent="0.2">
      <c r="A82" s="2">
        <v>42948</v>
      </c>
      <c r="B82">
        <f t="shared" si="12"/>
        <v>2017</v>
      </c>
      <c r="C82">
        <f t="shared" si="13"/>
        <v>8</v>
      </c>
      <c r="D82" s="88">
        <v>7044220.3084337329</v>
      </c>
      <c r="E82" s="88">
        <v>425326.81217228295</v>
      </c>
      <c r="F82" s="88">
        <v>7469547.1206060164</v>
      </c>
      <c r="G82" s="78">
        <v>0</v>
      </c>
      <c r="H82" s="78">
        <v>187.60000000000002</v>
      </c>
      <c r="I82" s="30">
        <v>0</v>
      </c>
      <c r="J82" s="30">
        <v>2658</v>
      </c>
      <c r="K82" s="30">
        <v>80</v>
      </c>
      <c r="L82" s="81">
        <v>0</v>
      </c>
      <c r="M82" s="30">
        <f t="shared" si="14"/>
        <v>7544868.9616199462</v>
      </c>
      <c r="N82" s="30">
        <f t="shared" si="9"/>
        <v>7119542.1494476628</v>
      </c>
      <c r="O82" s="30">
        <f t="shared" si="10"/>
        <v>75321.841013929807</v>
      </c>
      <c r="P82" s="48">
        <f t="shared" si="11"/>
        <v>1.0083856463819834E-2</v>
      </c>
      <c r="AC82"/>
      <c r="AD82"/>
    </row>
    <row r="83" spans="1:30" x14ac:dyDescent="0.2">
      <c r="A83" s="2">
        <v>42979</v>
      </c>
      <c r="B83">
        <f t="shared" si="12"/>
        <v>2017</v>
      </c>
      <c r="C83">
        <f t="shared" si="13"/>
        <v>9</v>
      </c>
      <c r="D83" s="88">
        <v>6545898.053012046</v>
      </c>
      <c r="E83" s="88">
        <v>425326.81217228295</v>
      </c>
      <c r="F83" s="88">
        <v>6971224.8651843295</v>
      </c>
      <c r="G83" s="78">
        <v>7.7000000000000011</v>
      </c>
      <c r="H83" s="78">
        <v>150.10000000000002</v>
      </c>
      <c r="I83" s="30">
        <v>1</v>
      </c>
      <c r="J83" s="30">
        <v>2656</v>
      </c>
      <c r="K83" s="30">
        <v>81</v>
      </c>
      <c r="L83" s="81">
        <v>0</v>
      </c>
      <c r="M83" s="30">
        <f t="shared" si="14"/>
        <v>7075292.8602169147</v>
      </c>
      <c r="N83" s="30">
        <f t="shared" si="9"/>
        <v>6649966.0480446313</v>
      </c>
      <c r="O83" s="30">
        <f t="shared" si="10"/>
        <v>104067.99503258523</v>
      </c>
      <c r="P83" s="48">
        <f t="shared" si="11"/>
        <v>1.4928222377723217E-2</v>
      </c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</row>
    <row r="84" spans="1:30" x14ac:dyDescent="0.2">
      <c r="A84" s="2">
        <v>43009</v>
      </c>
      <c r="B84">
        <f t="shared" si="12"/>
        <v>2017</v>
      </c>
      <c r="C84">
        <f t="shared" si="13"/>
        <v>10</v>
      </c>
      <c r="D84" s="88">
        <v>5870284.5879518026</v>
      </c>
      <c r="E84" s="88">
        <v>425326.81217228295</v>
      </c>
      <c r="F84" s="88">
        <v>6295611.4001240861</v>
      </c>
      <c r="G84" s="78">
        <v>70.000000000000014</v>
      </c>
      <c r="H84" s="78">
        <v>48.1</v>
      </c>
      <c r="I84" s="30">
        <v>1</v>
      </c>
      <c r="J84" s="30">
        <v>2655</v>
      </c>
      <c r="K84" s="30">
        <v>82</v>
      </c>
      <c r="L84" s="81">
        <v>0</v>
      </c>
      <c r="M84" s="30">
        <f t="shared" si="14"/>
        <v>6765442.039515039</v>
      </c>
      <c r="N84" s="30">
        <f t="shared" si="9"/>
        <v>6340115.2273427565</v>
      </c>
      <c r="O84" s="30">
        <f t="shared" si="10"/>
        <v>469830.63939095289</v>
      </c>
      <c r="P84" s="48">
        <f t="shared" si="11"/>
        <v>7.4628278260899739E-2</v>
      </c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</row>
    <row r="85" spans="1:30" x14ac:dyDescent="0.2">
      <c r="A85" s="2">
        <v>43040</v>
      </c>
      <c r="B85">
        <f t="shared" si="12"/>
        <v>2017</v>
      </c>
      <c r="C85">
        <f t="shared" si="13"/>
        <v>11</v>
      </c>
      <c r="D85" s="88">
        <v>6629922.1975903567</v>
      </c>
      <c r="E85" s="88">
        <v>425326.81217228295</v>
      </c>
      <c r="F85" s="88">
        <v>7055249.0097626392</v>
      </c>
      <c r="G85" s="78">
        <v>309.40000000000003</v>
      </c>
      <c r="H85" s="78">
        <v>0</v>
      </c>
      <c r="I85" s="30">
        <v>1</v>
      </c>
      <c r="J85" s="30">
        <v>2671</v>
      </c>
      <c r="K85" s="30">
        <v>83</v>
      </c>
      <c r="L85" s="81">
        <v>0</v>
      </c>
      <c r="M85" s="30">
        <f t="shared" si="14"/>
        <v>7419029.6050069667</v>
      </c>
      <c r="N85" s="30">
        <f t="shared" si="9"/>
        <v>6993702.7928346843</v>
      </c>
      <c r="O85" s="30">
        <f t="shared" si="10"/>
        <v>363780.59524432756</v>
      </c>
      <c r="P85" s="48">
        <f t="shared" si="11"/>
        <v>5.1561694667466643E-2</v>
      </c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</row>
    <row r="86" spans="1:30" x14ac:dyDescent="0.2">
      <c r="A86" s="2">
        <v>43070</v>
      </c>
      <c r="B86">
        <f t="shared" si="12"/>
        <v>2017</v>
      </c>
      <c r="C86">
        <f t="shared" si="13"/>
        <v>12</v>
      </c>
      <c r="D86" s="88">
        <v>7447066.4385542134</v>
      </c>
      <c r="E86" s="88">
        <v>425326.81217228295</v>
      </c>
      <c r="F86" s="88">
        <v>7872393.2507264968</v>
      </c>
      <c r="G86" s="78">
        <v>594.49999999999989</v>
      </c>
      <c r="H86" s="78">
        <v>0</v>
      </c>
      <c r="I86" s="30">
        <v>0</v>
      </c>
      <c r="J86" s="30">
        <v>2668</v>
      </c>
      <c r="K86" s="30">
        <v>84</v>
      </c>
      <c r="L86" s="81">
        <v>0</v>
      </c>
      <c r="M86" s="30">
        <f t="shared" si="14"/>
        <v>8658840.9737600312</v>
      </c>
      <c r="N86" s="30">
        <f t="shared" si="9"/>
        <v>8233514.1615877487</v>
      </c>
      <c r="O86" s="30">
        <f t="shared" si="10"/>
        <v>786447.72303353436</v>
      </c>
      <c r="P86" s="48">
        <f t="shared" si="11"/>
        <v>9.9899445821124061E-2</v>
      </c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</row>
    <row r="87" spans="1:30" x14ac:dyDescent="0.2">
      <c r="A87" s="2">
        <v>43101</v>
      </c>
      <c r="B87">
        <f t="shared" si="12"/>
        <v>2018</v>
      </c>
      <c r="C87">
        <f t="shared" si="13"/>
        <v>1</v>
      </c>
      <c r="D87" s="88">
        <v>8456682.110843366</v>
      </c>
      <c r="E87" s="88">
        <v>516993.78053170216</v>
      </c>
      <c r="F87" s="88">
        <v>8973675.8913750686</v>
      </c>
      <c r="G87" s="78">
        <v>608.29999999999984</v>
      </c>
      <c r="H87" s="78">
        <v>0</v>
      </c>
      <c r="I87" s="30">
        <v>0</v>
      </c>
      <c r="J87" s="30">
        <v>2666</v>
      </c>
      <c r="K87" s="30">
        <v>85</v>
      </c>
      <c r="L87" s="81">
        <v>0</v>
      </c>
      <c r="M87" s="30">
        <f t="shared" si="14"/>
        <v>8683451.7733099293</v>
      </c>
      <c r="N87" s="30">
        <f t="shared" si="9"/>
        <v>8166457.9927782267</v>
      </c>
      <c r="O87" s="30">
        <f t="shared" si="10"/>
        <v>-290224.11806513928</v>
      </c>
      <c r="P87" s="48">
        <f t="shared" si="11"/>
        <v>3.2341720558916598E-2</v>
      </c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</row>
    <row r="88" spans="1:30" x14ac:dyDescent="0.2">
      <c r="A88" s="2">
        <v>43132</v>
      </c>
      <c r="B88">
        <f t="shared" si="12"/>
        <v>2018</v>
      </c>
      <c r="C88">
        <f t="shared" si="13"/>
        <v>2</v>
      </c>
      <c r="D88" s="88">
        <v>7043598.3132530134</v>
      </c>
      <c r="E88" s="88">
        <v>516993.78053170216</v>
      </c>
      <c r="F88" s="88">
        <v>7560592.093784716</v>
      </c>
      <c r="G88" s="78">
        <v>443.00000000000011</v>
      </c>
      <c r="H88" s="78">
        <v>0</v>
      </c>
      <c r="I88" s="30">
        <v>0</v>
      </c>
      <c r="J88" s="30">
        <v>2673</v>
      </c>
      <c r="K88" s="30">
        <v>86</v>
      </c>
      <c r="L88" s="81">
        <v>0</v>
      </c>
      <c r="M88" s="30">
        <f t="shared" si="14"/>
        <v>8137819.5025126236</v>
      </c>
      <c r="N88" s="30">
        <f t="shared" si="9"/>
        <v>7620825.721980921</v>
      </c>
      <c r="O88" s="30">
        <f t="shared" si="10"/>
        <v>577227.40872790758</v>
      </c>
      <c r="P88" s="48">
        <f t="shared" si="11"/>
        <v>7.6346852411522767E-2</v>
      </c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</row>
    <row r="89" spans="1:30" x14ac:dyDescent="0.2">
      <c r="A89" s="2">
        <v>43160</v>
      </c>
      <c r="B89">
        <f t="shared" si="12"/>
        <v>2018</v>
      </c>
      <c r="C89">
        <f t="shared" si="13"/>
        <v>3</v>
      </c>
      <c r="D89" s="88">
        <v>7715573.493975902</v>
      </c>
      <c r="E89" s="88">
        <v>516993.78053170216</v>
      </c>
      <c r="F89" s="88">
        <v>8232567.2745076045</v>
      </c>
      <c r="G89" s="78">
        <v>430</v>
      </c>
      <c r="H89" s="78">
        <v>0</v>
      </c>
      <c r="I89" s="30">
        <v>0</v>
      </c>
      <c r="J89" s="30">
        <v>2677</v>
      </c>
      <c r="K89" s="30">
        <v>87</v>
      </c>
      <c r="L89" s="81">
        <v>0</v>
      </c>
      <c r="M89" s="30">
        <f t="shared" si="14"/>
        <v>8100810.9080800107</v>
      </c>
      <c r="N89" s="30">
        <f t="shared" si="9"/>
        <v>7583817.1275483081</v>
      </c>
      <c r="O89" s="30">
        <f t="shared" si="10"/>
        <v>-131756.36642759386</v>
      </c>
      <c r="P89" s="48">
        <f t="shared" si="11"/>
        <v>1.6004286637970329E-2</v>
      </c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</row>
    <row r="90" spans="1:30" x14ac:dyDescent="0.2">
      <c r="A90" s="2">
        <v>43191</v>
      </c>
      <c r="B90">
        <f t="shared" si="12"/>
        <v>2018</v>
      </c>
      <c r="C90">
        <f t="shared" si="13"/>
        <v>4</v>
      </c>
      <c r="D90" s="88">
        <v>6658362.8048192756</v>
      </c>
      <c r="E90" s="88">
        <v>516993.78053170216</v>
      </c>
      <c r="F90" s="88">
        <v>7175356.5853509782</v>
      </c>
      <c r="G90" s="78">
        <v>317.2</v>
      </c>
      <c r="H90" s="78">
        <v>0</v>
      </c>
      <c r="I90" s="30">
        <v>0</v>
      </c>
      <c r="J90" s="30">
        <v>2679</v>
      </c>
      <c r="K90" s="30">
        <v>88</v>
      </c>
      <c r="L90" s="81">
        <v>0</v>
      </c>
      <c r="M90" s="30">
        <f t="shared" si="14"/>
        <v>7710301.0267564803</v>
      </c>
      <c r="N90" s="30">
        <f t="shared" si="9"/>
        <v>7193307.2462247778</v>
      </c>
      <c r="O90" s="30">
        <f t="shared" si="10"/>
        <v>534944.44140550215</v>
      </c>
      <c r="P90" s="48">
        <f t="shared" si="11"/>
        <v>7.4553011413764553E-2</v>
      </c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</row>
    <row r="91" spans="1:30" x14ac:dyDescent="0.2">
      <c r="A91" s="2">
        <v>43221</v>
      </c>
      <c r="B91">
        <f t="shared" si="12"/>
        <v>2018</v>
      </c>
      <c r="C91">
        <f t="shared" si="13"/>
        <v>5</v>
      </c>
      <c r="D91" s="88">
        <v>6587285.6771084294</v>
      </c>
      <c r="E91" s="88">
        <v>516993.78053170216</v>
      </c>
      <c r="F91" s="88">
        <v>7104279.4576401319</v>
      </c>
      <c r="G91" s="78">
        <v>15</v>
      </c>
      <c r="H91" s="78">
        <v>107.10000000000001</v>
      </c>
      <c r="I91" s="30">
        <v>0</v>
      </c>
      <c r="J91" s="30">
        <v>2673</v>
      </c>
      <c r="K91" s="30">
        <v>89</v>
      </c>
      <c r="L91" s="81">
        <v>0</v>
      </c>
      <c r="M91" s="30">
        <f t="shared" si="14"/>
        <v>7159211.0441024872</v>
      </c>
      <c r="N91" s="30">
        <f t="shared" si="9"/>
        <v>6642217.2635707846</v>
      </c>
      <c r="O91" s="30">
        <f t="shared" si="10"/>
        <v>54931.586462355219</v>
      </c>
      <c r="P91" s="48">
        <f t="shared" si="11"/>
        <v>7.7321826639688736E-3</v>
      </c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</row>
    <row r="92" spans="1:30" x14ac:dyDescent="0.2">
      <c r="A92" s="2">
        <v>43252</v>
      </c>
      <c r="B92">
        <f t="shared" si="12"/>
        <v>2018</v>
      </c>
      <c r="C92">
        <f t="shared" si="13"/>
        <v>6</v>
      </c>
      <c r="D92" s="88">
        <v>7073215.3156626513</v>
      </c>
      <c r="E92" s="88">
        <v>516993.78053170216</v>
      </c>
      <c r="F92" s="88">
        <v>7590209.0961943539</v>
      </c>
      <c r="G92" s="78">
        <v>1.6999999999999993</v>
      </c>
      <c r="H92" s="78">
        <v>167.39999999999998</v>
      </c>
      <c r="I92" s="30">
        <v>0</v>
      </c>
      <c r="J92" s="30">
        <v>2677</v>
      </c>
      <c r="K92" s="30">
        <v>90</v>
      </c>
      <c r="L92" s="81">
        <v>0</v>
      </c>
      <c r="M92" s="30">
        <f t="shared" si="14"/>
        <v>7420540.0219657458</v>
      </c>
      <c r="N92" s="30">
        <f t="shared" si="9"/>
        <v>6903546.2414340433</v>
      </c>
      <c r="O92" s="30">
        <f t="shared" si="10"/>
        <v>-169669.07422860805</v>
      </c>
      <c r="P92" s="48">
        <f t="shared" si="11"/>
        <v>2.2353675910414407E-2</v>
      </c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</row>
    <row r="93" spans="1:30" x14ac:dyDescent="0.2">
      <c r="A93" s="2">
        <v>43282</v>
      </c>
      <c r="B93">
        <f t="shared" si="12"/>
        <v>2018</v>
      </c>
      <c r="C93">
        <f t="shared" si="13"/>
        <v>7</v>
      </c>
      <c r="D93" s="88">
        <v>7168019.7397590335</v>
      </c>
      <c r="E93" s="88">
        <v>516993.78053170216</v>
      </c>
      <c r="F93" s="88">
        <v>7685013.5202907361</v>
      </c>
      <c r="G93" s="78">
        <v>0</v>
      </c>
      <c r="H93" s="78">
        <v>291.79999999999995</v>
      </c>
      <c r="I93" s="30">
        <v>0</v>
      </c>
      <c r="J93" s="30">
        <v>2686</v>
      </c>
      <c r="K93" s="30">
        <v>91</v>
      </c>
      <c r="L93" s="81">
        <v>0</v>
      </c>
      <c r="M93" s="30">
        <f t="shared" si="14"/>
        <v>8065484.9897180106</v>
      </c>
      <c r="N93" s="30">
        <f t="shared" si="9"/>
        <v>7548491.2091863081</v>
      </c>
      <c r="O93" s="30">
        <f t="shared" si="10"/>
        <v>380471.46942727454</v>
      </c>
      <c r="P93" s="48">
        <f t="shared" si="11"/>
        <v>4.9508236832988772E-2</v>
      </c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</row>
    <row r="94" spans="1:30" x14ac:dyDescent="0.2">
      <c r="A94" s="2">
        <v>43313</v>
      </c>
      <c r="B94">
        <f t="shared" si="12"/>
        <v>2018</v>
      </c>
      <c r="C94">
        <f t="shared" si="13"/>
        <v>8</v>
      </c>
      <c r="D94" s="88">
        <v>7788838.81445783</v>
      </c>
      <c r="E94" s="88">
        <v>516993.78053170216</v>
      </c>
      <c r="F94" s="88">
        <v>8305832.5949895326</v>
      </c>
      <c r="G94" s="78">
        <v>0</v>
      </c>
      <c r="H94" s="78">
        <v>285.2</v>
      </c>
      <c r="I94" s="30">
        <v>0</v>
      </c>
      <c r="J94" s="30">
        <v>2693</v>
      </c>
      <c r="K94" s="30">
        <v>92</v>
      </c>
      <c r="L94" s="81">
        <v>0</v>
      </c>
      <c r="M94" s="30">
        <f t="shared" si="14"/>
        <v>8055715.4958635876</v>
      </c>
      <c r="N94" s="30">
        <f t="shared" si="9"/>
        <v>7538721.715331885</v>
      </c>
      <c r="O94" s="30">
        <f t="shared" si="10"/>
        <v>-250117.09912594501</v>
      </c>
      <c r="P94" s="48">
        <f t="shared" si="11"/>
        <v>3.0113428878500076E-2</v>
      </c>
    </row>
    <row r="95" spans="1:30" x14ac:dyDescent="0.2">
      <c r="A95" s="2">
        <v>43344</v>
      </c>
      <c r="B95">
        <f t="shared" si="12"/>
        <v>2018</v>
      </c>
      <c r="C95">
        <f t="shared" si="13"/>
        <v>9</v>
      </c>
      <c r="D95" s="88">
        <v>6718606.6602409622</v>
      </c>
      <c r="E95" s="88">
        <v>516993.78053170216</v>
      </c>
      <c r="F95" s="88">
        <v>7235600.4407726647</v>
      </c>
      <c r="G95" s="78">
        <v>8.7000000000000011</v>
      </c>
      <c r="H95" s="78">
        <v>158.5</v>
      </c>
      <c r="I95" s="30">
        <v>1</v>
      </c>
      <c r="J95" s="30">
        <v>2702</v>
      </c>
      <c r="K95" s="30">
        <v>93</v>
      </c>
      <c r="L95" s="81">
        <v>0</v>
      </c>
      <c r="M95" s="30">
        <f t="shared" si="14"/>
        <v>7202779.927769267</v>
      </c>
      <c r="N95" s="30">
        <f t="shared" si="9"/>
        <v>6685786.1472375644</v>
      </c>
      <c r="O95" s="30">
        <f t="shared" si="10"/>
        <v>-32820.513003397733</v>
      </c>
      <c r="P95" s="48">
        <f t="shared" si="11"/>
        <v>4.5359764226965719E-3</v>
      </c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</row>
    <row r="96" spans="1:30" x14ac:dyDescent="0.2">
      <c r="A96" s="2">
        <v>43374</v>
      </c>
      <c r="B96">
        <f t="shared" si="12"/>
        <v>2018</v>
      </c>
      <c r="C96">
        <f t="shared" si="13"/>
        <v>10</v>
      </c>
      <c r="D96" s="88">
        <v>6341396.2313253004</v>
      </c>
      <c r="E96" s="88">
        <v>516993.78053170216</v>
      </c>
      <c r="F96" s="88">
        <v>6858390.011857003</v>
      </c>
      <c r="G96" s="78">
        <v>175.3</v>
      </c>
      <c r="H96" s="78">
        <v>18.100000000000001</v>
      </c>
      <c r="I96" s="30">
        <v>1</v>
      </c>
      <c r="J96" s="30">
        <v>2700</v>
      </c>
      <c r="K96" s="30">
        <v>94</v>
      </c>
      <c r="L96" s="81">
        <v>0</v>
      </c>
      <c r="M96" s="30">
        <f t="shared" si="14"/>
        <v>7055980.9134793933</v>
      </c>
      <c r="N96" s="30">
        <f t="shared" si="9"/>
        <v>6538987.1329476908</v>
      </c>
      <c r="O96" s="30">
        <f t="shared" si="10"/>
        <v>197590.90162239037</v>
      </c>
      <c r="P96" s="48">
        <f t="shared" si="11"/>
        <v>2.8810099933189705E-2</v>
      </c>
    </row>
    <row r="97" spans="1:37" x14ac:dyDescent="0.2">
      <c r="A97" s="2">
        <v>43405</v>
      </c>
      <c r="B97">
        <f t="shared" si="12"/>
        <v>2018</v>
      </c>
      <c r="C97">
        <f t="shared" si="13"/>
        <v>11</v>
      </c>
      <c r="D97" s="88">
        <v>6327373.6674698787</v>
      </c>
      <c r="E97" s="88">
        <v>516993.78053170216</v>
      </c>
      <c r="F97" s="88">
        <v>6844367.4480015812</v>
      </c>
      <c r="G97" s="78">
        <v>374.10000000000008</v>
      </c>
      <c r="H97" s="78">
        <v>0</v>
      </c>
      <c r="I97" s="30">
        <v>1</v>
      </c>
      <c r="J97" s="30">
        <v>2703</v>
      </c>
      <c r="K97" s="30">
        <v>95</v>
      </c>
      <c r="L97" s="81">
        <v>0</v>
      </c>
      <c r="M97" s="30">
        <f t="shared" si="14"/>
        <v>7652605.3514864743</v>
      </c>
      <c r="N97" s="30">
        <f t="shared" si="9"/>
        <v>7135611.5709547717</v>
      </c>
      <c r="O97" s="30">
        <f t="shared" si="10"/>
        <v>808237.90348489303</v>
      </c>
      <c r="P97" s="48">
        <f t="shared" si="11"/>
        <v>0.11808803510701085</v>
      </c>
    </row>
    <row r="98" spans="1:37" x14ac:dyDescent="0.2">
      <c r="A98" s="2">
        <v>43435</v>
      </c>
      <c r="B98">
        <f t="shared" si="12"/>
        <v>2018</v>
      </c>
      <c r="C98">
        <f t="shared" si="13"/>
        <v>12</v>
      </c>
      <c r="D98" s="88">
        <v>8214792.0096385563</v>
      </c>
      <c r="E98" s="88">
        <v>516993.78053170216</v>
      </c>
      <c r="F98" s="88">
        <v>8731785.7901702579</v>
      </c>
      <c r="G98" s="78">
        <v>439.59999999999997</v>
      </c>
      <c r="H98" s="78">
        <v>0</v>
      </c>
      <c r="I98" s="30">
        <v>0</v>
      </c>
      <c r="J98" s="30">
        <v>2702</v>
      </c>
      <c r="K98" s="30">
        <v>96</v>
      </c>
      <c r="L98" s="81">
        <v>0</v>
      </c>
      <c r="M98" s="30">
        <f t="shared" si="14"/>
        <v>8147186.6535532381</v>
      </c>
      <c r="N98" s="30">
        <f t="shared" si="9"/>
        <v>7630192.8730215356</v>
      </c>
      <c r="O98" s="30">
        <f t="shared" si="10"/>
        <v>-584599.13661701977</v>
      </c>
      <c r="P98" s="48">
        <f t="shared" si="11"/>
        <v>6.6950696073548643E-2</v>
      </c>
    </row>
    <row r="99" spans="1:37" s="8" customFormat="1" x14ac:dyDescent="0.2">
      <c r="A99" s="2">
        <v>43466</v>
      </c>
      <c r="B99">
        <f t="shared" si="12"/>
        <v>2019</v>
      </c>
      <c r="C99">
        <f t="shared" si="13"/>
        <v>1</v>
      </c>
      <c r="D99" s="88">
        <v>8493510.5734939743</v>
      </c>
      <c r="E99" s="88">
        <v>606940.22447486676</v>
      </c>
      <c r="F99" s="88">
        <v>9100450.7979688402</v>
      </c>
      <c r="G99" s="78">
        <v>640.5</v>
      </c>
      <c r="H99" s="78">
        <v>0</v>
      </c>
      <c r="I99" s="30">
        <v>0</v>
      </c>
      <c r="J99" s="30">
        <v>2692</v>
      </c>
      <c r="K99" s="30">
        <v>97</v>
      </c>
      <c r="L99" s="81">
        <v>0</v>
      </c>
      <c r="M99" s="30">
        <f t="shared" si="14"/>
        <v>8774655.7764296569</v>
      </c>
      <c r="N99" s="30">
        <f t="shared" ref="N99:N127" si="15">M99-E99</f>
        <v>8167715.55195479</v>
      </c>
      <c r="O99" s="30">
        <f t="shared" ref="O99:O127" si="16">+M99-F99</f>
        <v>-325795.02153918333</v>
      </c>
      <c r="P99" s="48">
        <f t="shared" ref="P99:P127" si="17">ABS(O99/F99)</f>
        <v>3.579987725573975E-2</v>
      </c>
      <c r="Q99"/>
      <c r="R99"/>
      <c r="S99"/>
      <c r="T99"/>
      <c r="U99"/>
      <c r="V99"/>
      <c r="W99"/>
      <c r="X99"/>
      <c r="Y99"/>
      <c r="Z99"/>
      <c r="AA99"/>
      <c r="AB99"/>
      <c r="AC99" s="37"/>
      <c r="AD99" s="37"/>
      <c r="AE99" s="37"/>
      <c r="AF99" s="37"/>
      <c r="AG99" s="37"/>
      <c r="AH99" s="37"/>
      <c r="AI99" s="37"/>
      <c r="AJ99" s="37"/>
      <c r="AK99" s="37"/>
    </row>
    <row r="100" spans="1:37" x14ac:dyDescent="0.2">
      <c r="A100" s="2">
        <v>43497</v>
      </c>
      <c r="B100">
        <f t="shared" si="12"/>
        <v>2019</v>
      </c>
      <c r="C100">
        <f t="shared" si="13"/>
        <v>2</v>
      </c>
      <c r="D100" s="88">
        <v>7650394.8433734914</v>
      </c>
      <c r="E100" s="88">
        <v>606940.22447486676</v>
      </c>
      <c r="F100" s="88">
        <v>8257335.0678483583</v>
      </c>
      <c r="G100" s="78">
        <v>509.70000000000005</v>
      </c>
      <c r="H100" s="78">
        <v>0</v>
      </c>
      <c r="I100" s="30">
        <v>0</v>
      </c>
      <c r="J100" s="30">
        <v>2696</v>
      </c>
      <c r="K100" s="30">
        <v>98</v>
      </c>
      <c r="L100" s="81">
        <v>0</v>
      </c>
      <c r="M100" s="30">
        <f t="shared" si="14"/>
        <v>8332416.8956745733</v>
      </c>
      <c r="N100" s="30">
        <f t="shared" si="15"/>
        <v>7725476.6711997064</v>
      </c>
      <c r="O100" s="30">
        <f t="shared" si="16"/>
        <v>75081.827826214954</v>
      </c>
      <c r="P100" s="48">
        <f t="shared" si="17"/>
        <v>9.0927432651439297E-3</v>
      </c>
    </row>
    <row r="101" spans="1:37" x14ac:dyDescent="0.2">
      <c r="A101" s="2">
        <v>43525</v>
      </c>
      <c r="B101">
        <f t="shared" si="12"/>
        <v>2019</v>
      </c>
      <c r="C101">
        <f t="shared" si="13"/>
        <v>3</v>
      </c>
      <c r="D101" s="88">
        <v>7603009.9566265009</v>
      </c>
      <c r="E101" s="88">
        <v>606940.22447486676</v>
      </c>
      <c r="F101" s="88">
        <v>8209950.1811013678</v>
      </c>
      <c r="G101" s="78">
        <v>469.9</v>
      </c>
      <c r="H101" s="78">
        <v>0</v>
      </c>
      <c r="I101" s="30">
        <v>0</v>
      </c>
      <c r="J101" s="30">
        <v>2699</v>
      </c>
      <c r="K101" s="30">
        <v>99</v>
      </c>
      <c r="L101" s="81">
        <v>0</v>
      </c>
      <c r="M101" s="30">
        <f t="shared" si="14"/>
        <v>8198121.3217527745</v>
      </c>
      <c r="N101" s="30">
        <f t="shared" si="15"/>
        <v>7591181.0972779077</v>
      </c>
      <c r="O101" s="30">
        <f t="shared" si="16"/>
        <v>-11828.85934859328</v>
      </c>
      <c r="P101" s="48">
        <f t="shared" si="17"/>
        <v>1.4407955088232257E-3</v>
      </c>
    </row>
    <row r="102" spans="1:37" x14ac:dyDescent="0.2">
      <c r="A102" s="2">
        <v>43556</v>
      </c>
      <c r="B102">
        <f t="shared" si="12"/>
        <v>2019</v>
      </c>
      <c r="C102">
        <f t="shared" si="13"/>
        <v>4</v>
      </c>
      <c r="D102" s="88">
        <v>6777657.9951807288</v>
      </c>
      <c r="E102" s="88">
        <v>606940.22447486676</v>
      </c>
      <c r="F102" s="88">
        <v>7384598.2196555957</v>
      </c>
      <c r="G102" s="78">
        <v>226.80000000000004</v>
      </c>
      <c r="H102" s="78">
        <v>0</v>
      </c>
      <c r="I102" s="30">
        <v>0</v>
      </c>
      <c r="J102" s="30">
        <v>2695</v>
      </c>
      <c r="K102" s="30">
        <v>100</v>
      </c>
      <c r="L102" s="81">
        <v>0</v>
      </c>
      <c r="M102" s="30">
        <f t="shared" si="14"/>
        <v>7328809.119800047</v>
      </c>
      <c r="N102" s="30">
        <f t="shared" si="15"/>
        <v>6721868.8953251801</v>
      </c>
      <c r="O102" s="30">
        <f t="shared" si="16"/>
        <v>-55789.099855548702</v>
      </c>
      <c r="P102" s="48">
        <f t="shared" si="17"/>
        <v>7.5547914992930522E-3</v>
      </c>
    </row>
    <row r="103" spans="1:37" x14ac:dyDescent="0.2">
      <c r="A103" s="2">
        <v>43586</v>
      </c>
      <c r="B103">
        <f t="shared" si="12"/>
        <v>2019</v>
      </c>
      <c r="C103">
        <f t="shared" si="13"/>
        <v>5</v>
      </c>
      <c r="D103" s="88">
        <v>6404967.7975903675</v>
      </c>
      <c r="E103" s="88">
        <v>606940.22447486676</v>
      </c>
      <c r="F103" s="88">
        <v>7011908.0220652344</v>
      </c>
      <c r="G103" s="78">
        <v>87.700000000000017</v>
      </c>
      <c r="H103" s="78">
        <v>18.7</v>
      </c>
      <c r="I103" s="30">
        <v>0</v>
      </c>
      <c r="J103" s="30">
        <v>2691</v>
      </c>
      <c r="K103" s="30">
        <v>101</v>
      </c>
      <c r="L103" s="81">
        <v>0</v>
      </c>
      <c r="M103" s="30">
        <f t="shared" si="14"/>
        <v>6910094.7236681599</v>
      </c>
      <c r="N103" s="30">
        <f t="shared" si="15"/>
        <v>6303154.499193293</v>
      </c>
      <c r="O103" s="30">
        <f t="shared" si="16"/>
        <v>-101813.29839707445</v>
      </c>
      <c r="P103" s="48">
        <f t="shared" si="17"/>
        <v>1.4520056178245066E-2</v>
      </c>
    </row>
    <row r="104" spans="1:37" x14ac:dyDescent="0.2">
      <c r="A104" s="2">
        <v>43617</v>
      </c>
      <c r="B104">
        <f t="shared" si="12"/>
        <v>2019</v>
      </c>
      <c r="C104">
        <f t="shared" si="13"/>
        <v>6</v>
      </c>
      <c r="D104" s="88">
        <v>6035483.3349397592</v>
      </c>
      <c r="E104" s="88">
        <v>606940.22447486676</v>
      </c>
      <c r="F104" s="88">
        <v>6642423.5594146261</v>
      </c>
      <c r="G104" s="78">
        <v>4.2000000000000011</v>
      </c>
      <c r="H104" s="78">
        <v>130</v>
      </c>
      <c r="I104" s="30">
        <v>0</v>
      </c>
      <c r="J104" s="30">
        <v>2687</v>
      </c>
      <c r="K104" s="30">
        <v>102</v>
      </c>
      <c r="L104" s="81">
        <v>0</v>
      </c>
      <c r="M104" s="30">
        <f t="shared" si="14"/>
        <v>7142371.9099221975</v>
      </c>
      <c r="N104" s="30">
        <f t="shared" si="15"/>
        <v>6535431.6854473306</v>
      </c>
      <c r="O104" s="30">
        <f t="shared" si="16"/>
        <v>499948.35050757136</v>
      </c>
      <c r="P104" s="48">
        <f t="shared" si="17"/>
        <v>7.5265954667851701E-2</v>
      </c>
    </row>
    <row r="105" spans="1:37" x14ac:dyDescent="0.2">
      <c r="A105" s="2">
        <v>43647</v>
      </c>
      <c r="B105">
        <f t="shared" si="12"/>
        <v>2019</v>
      </c>
      <c r="C105">
        <f t="shared" si="13"/>
        <v>7</v>
      </c>
      <c r="D105" s="88">
        <v>7346858.1783132479</v>
      </c>
      <c r="E105" s="88">
        <v>606940.22447486676</v>
      </c>
      <c r="F105" s="88">
        <v>7953798.4027881147</v>
      </c>
      <c r="G105" s="78">
        <v>0</v>
      </c>
      <c r="H105" s="78">
        <v>290.89999999999992</v>
      </c>
      <c r="I105" s="30">
        <v>0</v>
      </c>
      <c r="J105" s="30">
        <v>2688</v>
      </c>
      <c r="K105" s="30">
        <v>103</v>
      </c>
      <c r="L105" s="81">
        <v>0</v>
      </c>
      <c r="M105" s="30">
        <f t="shared" si="14"/>
        <v>7919164.3941615801</v>
      </c>
      <c r="N105" s="30">
        <f t="shared" si="15"/>
        <v>7312224.1696867133</v>
      </c>
      <c r="O105" s="30">
        <f t="shared" si="16"/>
        <v>-34634.008626534604</v>
      </c>
      <c r="P105" s="48">
        <f t="shared" si="17"/>
        <v>4.3543985995916166E-3</v>
      </c>
    </row>
    <row r="106" spans="1:37" x14ac:dyDescent="0.2">
      <c r="A106" s="2">
        <v>43678</v>
      </c>
      <c r="B106">
        <f t="shared" si="12"/>
        <v>2019</v>
      </c>
      <c r="C106">
        <f t="shared" si="13"/>
        <v>8</v>
      </c>
      <c r="D106" s="88">
        <v>7213289.7060240963</v>
      </c>
      <c r="E106" s="88">
        <v>606940.22447486676</v>
      </c>
      <c r="F106" s="88">
        <v>7820229.9304989632</v>
      </c>
      <c r="G106" s="78">
        <v>0</v>
      </c>
      <c r="H106" s="78">
        <v>226.40000000000006</v>
      </c>
      <c r="I106" s="30">
        <v>0</v>
      </c>
      <c r="J106" s="30">
        <v>2684</v>
      </c>
      <c r="K106" s="30">
        <v>104</v>
      </c>
      <c r="L106" s="81">
        <v>0</v>
      </c>
      <c r="M106" s="30">
        <f t="shared" si="14"/>
        <v>7565891.476120282</v>
      </c>
      <c r="N106" s="30">
        <f t="shared" si="15"/>
        <v>6958951.2516454151</v>
      </c>
      <c r="O106" s="30">
        <f t="shared" si="16"/>
        <v>-254338.45437868126</v>
      </c>
      <c r="P106" s="48">
        <f t="shared" si="17"/>
        <v>3.252314275143741E-2</v>
      </c>
    </row>
    <row r="107" spans="1:37" x14ac:dyDescent="0.2">
      <c r="A107" s="2">
        <v>43709</v>
      </c>
      <c r="B107">
        <f t="shared" si="12"/>
        <v>2019</v>
      </c>
      <c r="C107">
        <f t="shared" si="13"/>
        <v>9</v>
      </c>
      <c r="D107" s="88">
        <v>6412383.0746987946</v>
      </c>
      <c r="E107" s="88">
        <v>606940.22447486676</v>
      </c>
      <c r="F107" s="88">
        <v>7019323.2991736615</v>
      </c>
      <c r="G107" s="78">
        <v>2.5999999999999979</v>
      </c>
      <c r="H107" s="78">
        <v>109.6</v>
      </c>
      <c r="I107" s="30">
        <v>1</v>
      </c>
      <c r="J107" s="30">
        <v>2683</v>
      </c>
      <c r="K107" s="30">
        <v>105</v>
      </c>
      <c r="L107" s="81">
        <v>0</v>
      </c>
      <c r="M107" s="30">
        <f t="shared" si="14"/>
        <v>6690168.5307546901</v>
      </c>
      <c r="N107" s="30">
        <f t="shared" si="15"/>
        <v>6083228.3062798232</v>
      </c>
      <c r="O107" s="30">
        <f t="shared" si="16"/>
        <v>-329154.76841897145</v>
      </c>
      <c r="P107" s="48">
        <f t="shared" si="17"/>
        <v>4.6892663920711654E-2</v>
      </c>
    </row>
    <row r="108" spans="1:37" x14ac:dyDescent="0.2">
      <c r="A108" s="2">
        <v>43739</v>
      </c>
      <c r="B108">
        <f t="shared" si="12"/>
        <v>2019</v>
      </c>
      <c r="C108">
        <f t="shared" si="13"/>
        <v>10</v>
      </c>
      <c r="D108" s="88">
        <v>6175914.5445783148</v>
      </c>
      <c r="E108" s="88">
        <v>606940.22447486676</v>
      </c>
      <c r="F108" s="88">
        <v>6782854.7690531816</v>
      </c>
      <c r="G108" s="78">
        <v>119.39999999999999</v>
      </c>
      <c r="H108" s="78">
        <v>12.000000000000004</v>
      </c>
      <c r="I108" s="30">
        <v>1</v>
      </c>
      <c r="J108" s="30">
        <v>2694</v>
      </c>
      <c r="K108" s="30">
        <v>106</v>
      </c>
      <c r="L108" s="81">
        <v>0</v>
      </c>
      <c r="M108" s="30">
        <f t="shared" si="14"/>
        <v>6650785.895106582</v>
      </c>
      <c r="N108" s="30">
        <f t="shared" si="15"/>
        <v>6043845.6706317151</v>
      </c>
      <c r="O108" s="30">
        <f t="shared" si="16"/>
        <v>-132068.87394659966</v>
      </c>
      <c r="P108" s="48">
        <f t="shared" si="17"/>
        <v>1.9470986545247107E-2</v>
      </c>
    </row>
    <row r="109" spans="1:37" x14ac:dyDescent="0.2">
      <c r="A109" s="2">
        <v>43770</v>
      </c>
      <c r="B109">
        <f t="shared" si="12"/>
        <v>2019</v>
      </c>
      <c r="C109">
        <f t="shared" si="13"/>
        <v>11</v>
      </c>
      <c r="D109" s="88">
        <v>6158689.3783132555</v>
      </c>
      <c r="E109" s="88">
        <v>606940.22447486676</v>
      </c>
      <c r="F109" s="88">
        <v>6765629.6027881224</v>
      </c>
      <c r="G109" s="78">
        <v>393.30000000000007</v>
      </c>
      <c r="H109" s="78">
        <v>0</v>
      </c>
      <c r="I109" s="30">
        <v>1</v>
      </c>
      <c r="J109" s="30">
        <v>2694</v>
      </c>
      <c r="K109" s="30">
        <v>107</v>
      </c>
      <c r="L109" s="81">
        <v>0</v>
      </c>
      <c r="M109" s="30">
        <f t="shared" si="14"/>
        <v>7520751.6161883585</v>
      </c>
      <c r="N109" s="30">
        <f t="shared" si="15"/>
        <v>6913811.3917134916</v>
      </c>
      <c r="O109" s="30">
        <f t="shared" si="16"/>
        <v>755122.01340023614</v>
      </c>
      <c r="P109" s="48">
        <f t="shared" si="17"/>
        <v>0.11161149186899762</v>
      </c>
    </row>
    <row r="110" spans="1:37" x14ac:dyDescent="0.2">
      <c r="A110" s="2">
        <v>43800</v>
      </c>
      <c r="B110">
        <f t="shared" si="12"/>
        <v>2019</v>
      </c>
      <c r="C110">
        <f t="shared" si="13"/>
        <v>12</v>
      </c>
      <c r="D110" s="88">
        <v>7536491.3638554169</v>
      </c>
      <c r="E110" s="88">
        <v>606940.22447486676</v>
      </c>
      <c r="F110" s="88">
        <v>8143431.5883302838</v>
      </c>
      <c r="G110" s="78">
        <v>458.39999999999992</v>
      </c>
      <c r="H110" s="78">
        <v>0</v>
      </c>
      <c r="I110" s="30">
        <v>0</v>
      </c>
      <c r="J110" s="30">
        <v>2697</v>
      </c>
      <c r="K110" s="30">
        <v>108</v>
      </c>
      <c r="L110" s="81">
        <v>0</v>
      </c>
      <c r="M110" s="30">
        <f t="shared" si="14"/>
        <v>8034338.4015064444</v>
      </c>
      <c r="N110" s="30">
        <f t="shared" si="15"/>
        <v>7427398.1770315776</v>
      </c>
      <c r="O110" s="30">
        <f t="shared" si="16"/>
        <v>-109093.18682383932</v>
      </c>
      <c r="P110" s="48">
        <f t="shared" si="17"/>
        <v>1.3396463842119366E-2</v>
      </c>
    </row>
    <row r="111" spans="1:37" x14ac:dyDescent="0.2">
      <c r="A111" s="2">
        <v>43831</v>
      </c>
      <c r="B111">
        <f t="shared" si="12"/>
        <v>2020</v>
      </c>
      <c r="C111">
        <f t="shared" si="13"/>
        <v>1</v>
      </c>
      <c r="D111" s="88">
        <v>8484041.1759036183</v>
      </c>
      <c r="E111" s="88">
        <v>649812.80140259408</v>
      </c>
      <c r="F111" s="88">
        <v>9133853.9773062132</v>
      </c>
      <c r="G111" s="78">
        <v>481</v>
      </c>
      <c r="H111" s="78">
        <v>0</v>
      </c>
      <c r="I111" s="30">
        <v>0</v>
      </c>
      <c r="J111" s="30">
        <v>2693</v>
      </c>
      <c r="K111" s="30">
        <v>109</v>
      </c>
      <c r="L111" s="81">
        <v>0</v>
      </c>
      <c r="M111" s="30">
        <f t="shared" si="14"/>
        <v>8079030.3343234919</v>
      </c>
      <c r="N111" s="30">
        <f t="shared" si="15"/>
        <v>7429217.5329208979</v>
      </c>
      <c r="O111" s="30">
        <f t="shared" si="16"/>
        <v>-1054823.6429827213</v>
      </c>
      <c r="P111" s="48">
        <f t="shared" si="17"/>
        <v>0.11548505653840258</v>
      </c>
      <c r="Q111" s="11"/>
      <c r="AC111" s="37"/>
      <c r="AD111" s="37"/>
      <c r="AE111" s="37"/>
    </row>
    <row r="112" spans="1:37" x14ac:dyDescent="0.2">
      <c r="A112" s="2">
        <v>43862</v>
      </c>
      <c r="B112">
        <f t="shared" si="12"/>
        <v>2020</v>
      </c>
      <c r="C112">
        <f t="shared" si="13"/>
        <v>2</v>
      </c>
      <c r="D112" s="88">
        <v>7437125.9180722833</v>
      </c>
      <c r="E112" s="88">
        <v>649812.80140259408</v>
      </c>
      <c r="F112" s="88">
        <v>8086938.7194748772</v>
      </c>
      <c r="G112" s="78">
        <v>495.8</v>
      </c>
      <c r="H112" s="78">
        <v>0</v>
      </c>
      <c r="I112" s="30">
        <v>0</v>
      </c>
      <c r="J112" s="30">
        <v>2694</v>
      </c>
      <c r="K112" s="30">
        <v>110</v>
      </c>
      <c r="L112" s="81">
        <v>0</v>
      </c>
      <c r="M112" s="30">
        <f t="shared" si="14"/>
        <v>8122367.2274003308</v>
      </c>
      <c r="N112" s="30">
        <f t="shared" si="15"/>
        <v>7472554.4259977369</v>
      </c>
      <c r="O112" s="30">
        <f t="shared" si="16"/>
        <v>35428.507925453596</v>
      </c>
      <c r="P112" s="48">
        <f t="shared" si="17"/>
        <v>4.3809541724528032E-3</v>
      </c>
    </row>
    <row r="113" spans="1:16" x14ac:dyDescent="0.2">
      <c r="A113" s="2">
        <v>43891</v>
      </c>
      <c r="B113">
        <f t="shared" si="12"/>
        <v>2020</v>
      </c>
      <c r="C113">
        <f t="shared" si="13"/>
        <v>3</v>
      </c>
      <c r="D113" s="88">
        <v>7029333.0698795123</v>
      </c>
      <c r="E113" s="88">
        <v>649812.80140259408</v>
      </c>
      <c r="F113" s="88">
        <v>7679145.8712821063</v>
      </c>
      <c r="G113" s="78">
        <v>334.7</v>
      </c>
      <c r="H113" s="78">
        <v>0</v>
      </c>
      <c r="I113" s="30">
        <v>0</v>
      </c>
      <c r="J113" s="30">
        <v>2707</v>
      </c>
      <c r="K113" s="30">
        <v>111</v>
      </c>
      <c r="L113" s="81">
        <v>0.5</v>
      </c>
      <c r="M113" s="30">
        <f t="shared" si="14"/>
        <v>7282811.9709551809</v>
      </c>
      <c r="N113" s="30">
        <f t="shared" si="15"/>
        <v>6632999.169552587</v>
      </c>
      <c r="O113" s="30">
        <f t="shared" si="16"/>
        <v>-396333.90032692533</v>
      </c>
      <c r="P113" s="48">
        <f t="shared" si="17"/>
        <v>5.1611716585448011E-2</v>
      </c>
    </row>
    <row r="114" spans="1:16" x14ac:dyDescent="0.2">
      <c r="A114" s="2">
        <v>43922</v>
      </c>
      <c r="B114">
        <f t="shared" si="12"/>
        <v>2020</v>
      </c>
      <c r="C114">
        <f t="shared" si="13"/>
        <v>4</v>
      </c>
      <c r="D114" s="88">
        <v>6060516.9927710835</v>
      </c>
      <c r="E114" s="88">
        <v>649812.80140259408</v>
      </c>
      <c r="F114" s="88">
        <v>6710329.7941736775</v>
      </c>
      <c r="G114" s="78">
        <v>242.3</v>
      </c>
      <c r="H114" s="78">
        <v>0</v>
      </c>
      <c r="I114" s="30">
        <v>0</v>
      </c>
      <c r="J114" s="30">
        <v>2708</v>
      </c>
      <c r="K114" s="30">
        <v>112</v>
      </c>
      <c r="L114" s="81">
        <v>1</v>
      </c>
      <c r="M114" s="30">
        <f t="shared" si="14"/>
        <v>6618439.2828101115</v>
      </c>
      <c r="N114" s="30">
        <f t="shared" si="15"/>
        <v>5968626.4814075176</v>
      </c>
      <c r="O114" s="30">
        <f t="shared" si="16"/>
        <v>-91890.511363565922</v>
      </c>
      <c r="P114" s="48">
        <f t="shared" si="17"/>
        <v>1.3693889001305262E-2</v>
      </c>
    </row>
    <row r="115" spans="1:16" x14ac:dyDescent="0.2">
      <c r="A115" s="2">
        <v>43952</v>
      </c>
      <c r="B115">
        <f t="shared" si="12"/>
        <v>2020</v>
      </c>
      <c r="C115">
        <f t="shared" si="13"/>
        <v>5</v>
      </c>
      <c r="D115" s="88">
        <v>5500006.03373494</v>
      </c>
      <c r="E115" s="88">
        <v>649812.80140259408</v>
      </c>
      <c r="F115" s="88">
        <v>6149818.835137534</v>
      </c>
      <c r="G115" s="78">
        <v>116.19999999999999</v>
      </c>
      <c r="H115" s="78">
        <v>56.300000000000004</v>
      </c>
      <c r="I115" s="30">
        <v>0</v>
      </c>
      <c r="J115" s="30">
        <v>2709</v>
      </c>
      <c r="K115" s="30">
        <v>113</v>
      </c>
      <c r="L115" s="81">
        <v>1</v>
      </c>
      <c r="M115" s="30">
        <f t="shared" si="14"/>
        <v>6456593.1157334661</v>
      </c>
      <c r="N115" s="30">
        <f t="shared" si="15"/>
        <v>5806780.3143308721</v>
      </c>
      <c r="O115" s="30">
        <f t="shared" si="16"/>
        <v>306774.28059593216</v>
      </c>
      <c r="P115" s="48">
        <f t="shared" si="17"/>
        <v>4.9883466297112718E-2</v>
      </c>
    </row>
    <row r="116" spans="1:16" x14ac:dyDescent="0.2">
      <c r="A116" s="2">
        <v>43983</v>
      </c>
      <c r="B116">
        <f t="shared" si="12"/>
        <v>2020</v>
      </c>
      <c r="C116">
        <f t="shared" si="13"/>
        <v>6</v>
      </c>
      <c r="D116" s="88">
        <v>6178943.248192776</v>
      </c>
      <c r="E116" s="88">
        <v>649812.80140259408</v>
      </c>
      <c r="F116" s="88">
        <v>6828756.04959537</v>
      </c>
      <c r="G116" s="78">
        <v>2.0999999999999996</v>
      </c>
      <c r="H116" s="78">
        <v>196.00000000000003</v>
      </c>
      <c r="I116" s="30">
        <v>0</v>
      </c>
      <c r="J116" s="30">
        <v>2721</v>
      </c>
      <c r="K116" s="30">
        <v>114</v>
      </c>
      <c r="L116" s="81">
        <v>0.5</v>
      </c>
      <c r="M116" s="30">
        <f t="shared" si="14"/>
        <v>7145072.4099889584</v>
      </c>
      <c r="N116" s="30">
        <f t="shared" si="15"/>
        <v>6495259.6085863644</v>
      </c>
      <c r="O116" s="30">
        <f t="shared" si="16"/>
        <v>316316.36039358843</v>
      </c>
      <c r="P116" s="48">
        <f t="shared" si="17"/>
        <v>4.6321227189296266E-2</v>
      </c>
    </row>
    <row r="117" spans="1:16" x14ac:dyDescent="0.2">
      <c r="A117" s="2">
        <v>44013</v>
      </c>
      <c r="B117">
        <f t="shared" si="12"/>
        <v>2020</v>
      </c>
      <c r="C117">
        <f t="shared" si="13"/>
        <v>7</v>
      </c>
      <c r="D117" s="88">
        <v>7125657.9277108368</v>
      </c>
      <c r="E117" s="88">
        <v>649812.80140259408</v>
      </c>
      <c r="F117" s="88">
        <v>7775470.7291134307</v>
      </c>
      <c r="G117" s="78">
        <v>0</v>
      </c>
      <c r="H117" s="78">
        <v>339.70000000000005</v>
      </c>
      <c r="I117" s="30">
        <v>0</v>
      </c>
      <c r="J117" s="30">
        <v>2724</v>
      </c>
      <c r="K117" s="30">
        <v>115</v>
      </c>
      <c r="L117" s="81">
        <v>0.5</v>
      </c>
      <c r="M117" s="30">
        <f t="shared" si="14"/>
        <v>7853887.2878275309</v>
      </c>
      <c r="N117" s="30">
        <f t="shared" si="15"/>
        <v>7204074.4864249369</v>
      </c>
      <c r="O117" s="30">
        <f t="shared" si="16"/>
        <v>78416.55871410016</v>
      </c>
      <c r="P117" s="48">
        <f t="shared" si="17"/>
        <v>1.0085120431421303E-2</v>
      </c>
    </row>
    <row r="118" spans="1:16" x14ac:dyDescent="0.2">
      <c r="A118" s="2">
        <v>44044</v>
      </c>
      <c r="B118">
        <f t="shared" si="12"/>
        <v>2020</v>
      </c>
      <c r="C118">
        <f t="shared" si="13"/>
        <v>8</v>
      </c>
      <c r="D118" s="88">
        <v>6952279.6530120457</v>
      </c>
      <c r="E118" s="88">
        <v>649812.80140259408</v>
      </c>
      <c r="F118" s="88">
        <v>7602092.4544146396</v>
      </c>
      <c r="G118" s="78">
        <v>0</v>
      </c>
      <c r="H118" s="78">
        <v>249.89999999999998</v>
      </c>
      <c r="I118" s="30">
        <v>0</v>
      </c>
      <c r="J118" s="30">
        <v>2731</v>
      </c>
      <c r="K118" s="30">
        <v>116</v>
      </c>
      <c r="L118" s="81">
        <v>0.5</v>
      </c>
      <c r="M118" s="30">
        <f t="shared" si="14"/>
        <v>7431057.295599727</v>
      </c>
      <c r="N118" s="30">
        <f t="shared" si="15"/>
        <v>6781244.494197133</v>
      </c>
      <c r="O118" s="30">
        <f t="shared" si="16"/>
        <v>-171035.15881491266</v>
      </c>
      <c r="P118" s="48">
        <f t="shared" si="17"/>
        <v>2.2498431825252296E-2</v>
      </c>
    </row>
    <row r="119" spans="1:16" x14ac:dyDescent="0.2">
      <c r="A119" s="2">
        <v>44075</v>
      </c>
      <c r="B119">
        <f t="shared" si="12"/>
        <v>2020</v>
      </c>
      <c r="C119">
        <f t="shared" si="13"/>
        <v>9</v>
      </c>
      <c r="D119" s="88">
        <v>6152713.3975903597</v>
      </c>
      <c r="E119" s="88">
        <v>649812.80140259408</v>
      </c>
      <c r="F119" s="88">
        <v>6802526.1989929536</v>
      </c>
      <c r="G119" s="78">
        <v>15.899999999999999</v>
      </c>
      <c r="H119" s="78">
        <v>100.10000000000001</v>
      </c>
      <c r="I119" s="30">
        <v>1</v>
      </c>
      <c r="J119" s="30">
        <v>2734</v>
      </c>
      <c r="K119" s="30">
        <v>117</v>
      </c>
      <c r="L119" s="81">
        <v>0.5</v>
      </c>
      <c r="M119" s="30">
        <f t="shared" si="14"/>
        <v>6457633.5422838964</v>
      </c>
      <c r="N119" s="30">
        <f t="shared" si="15"/>
        <v>5807820.7408813024</v>
      </c>
      <c r="O119" s="30">
        <f t="shared" si="16"/>
        <v>-344892.65670905728</v>
      </c>
      <c r="P119" s="48">
        <f t="shared" si="17"/>
        <v>5.0700673047038791E-2</v>
      </c>
    </row>
    <row r="120" spans="1:16" x14ac:dyDescent="0.2">
      <c r="A120" s="2">
        <v>44105</v>
      </c>
      <c r="B120">
        <f t="shared" si="12"/>
        <v>2020</v>
      </c>
      <c r="C120">
        <f t="shared" si="13"/>
        <v>10</v>
      </c>
      <c r="D120" s="88">
        <v>6063787.8939759014</v>
      </c>
      <c r="E120" s="88">
        <v>649812.80140259408</v>
      </c>
      <c r="F120" s="88">
        <v>6713600.6953784954</v>
      </c>
      <c r="G120" s="78">
        <v>149.90000000000003</v>
      </c>
      <c r="H120" s="78">
        <v>3.5999999999999996</v>
      </c>
      <c r="I120" s="30">
        <v>1</v>
      </c>
      <c r="J120" s="30">
        <v>2744</v>
      </c>
      <c r="K120" s="30">
        <v>118</v>
      </c>
      <c r="L120" s="81">
        <v>0.5</v>
      </c>
      <c r="M120" s="30">
        <f t="shared" si="14"/>
        <v>6477784.4234600803</v>
      </c>
      <c r="N120" s="30">
        <f t="shared" si="15"/>
        <v>5827971.6220574863</v>
      </c>
      <c r="O120" s="30">
        <f t="shared" si="16"/>
        <v>-235816.27191841509</v>
      </c>
      <c r="P120" s="48">
        <f t="shared" si="17"/>
        <v>3.5125156025550663E-2</v>
      </c>
    </row>
    <row r="121" spans="1:16" x14ac:dyDescent="0.2">
      <c r="A121" s="2">
        <v>44136</v>
      </c>
      <c r="B121">
        <f t="shared" si="12"/>
        <v>2020</v>
      </c>
      <c r="C121">
        <f t="shared" si="13"/>
        <v>11</v>
      </c>
      <c r="D121" s="88">
        <v>5989978.6987951752</v>
      </c>
      <c r="E121" s="88">
        <v>649812.80140259408</v>
      </c>
      <c r="F121" s="88">
        <v>6639791.5001977691</v>
      </c>
      <c r="G121" s="78">
        <v>220.39999999999998</v>
      </c>
      <c r="H121" s="78">
        <v>5.6000000000000014</v>
      </c>
      <c r="I121" s="30">
        <v>1</v>
      </c>
      <c r="J121" s="30">
        <v>2753</v>
      </c>
      <c r="K121" s="30">
        <v>119</v>
      </c>
      <c r="L121" s="81">
        <v>0.5</v>
      </c>
      <c r="M121" s="30">
        <f t="shared" si="14"/>
        <v>6763420.8000176372</v>
      </c>
      <c r="N121" s="30">
        <f t="shared" si="15"/>
        <v>6113607.9986150432</v>
      </c>
      <c r="O121" s="30">
        <f t="shared" si="16"/>
        <v>123629.29981986806</v>
      </c>
      <c r="P121" s="48">
        <f t="shared" si="17"/>
        <v>1.8619455116352029E-2</v>
      </c>
    </row>
    <row r="122" spans="1:16" x14ac:dyDescent="0.2">
      <c r="A122" s="2">
        <v>44166</v>
      </c>
      <c r="B122">
        <f t="shared" si="12"/>
        <v>2020</v>
      </c>
      <c r="C122">
        <f t="shared" si="13"/>
        <v>12</v>
      </c>
      <c r="D122" s="88">
        <v>6720380.9831325309</v>
      </c>
      <c r="E122" s="88">
        <v>649812.80140259408</v>
      </c>
      <c r="F122" s="88">
        <v>7370193.7845351249</v>
      </c>
      <c r="G122" s="78">
        <v>443.3</v>
      </c>
      <c r="H122" s="78">
        <v>0</v>
      </c>
      <c r="I122" s="30">
        <v>0</v>
      </c>
      <c r="J122" s="30">
        <v>2781</v>
      </c>
      <c r="K122" s="30">
        <v>120</v>
      </c>
      <c r="L122" s="81">
        <v>0.5</v>
      </c>
      <c r="M122" s="30">
        <f t="shared" si="14"/>
        <v>7919419.3747877143</v>
      </c>
      <c r="N122" s="30">
        <f t="shared" si="15"/>
        <v>7269606.5733851204</v>
      </c>
      <c r="O122" s="30">
        <f t="shared" si="16"/>
        <v>549225.59025258943</v>
      </c>
      <c r="P122" s="48">
        <f t="shared" si="17"/>
        <v>7.4519830320476682E-2</v>
      </c>
    </row>
    <row r="123" spans="1:16" x14ac:dyDescent="0.2">
      <c r="A123" s="2">
        <v>44197</v>
      </c>
      <c r="B123">
        <f t="shared" si="12"/>
        <v>2021</v>
      </c>
      <c r="C123">
        <f t="shared" si="13"/>
        <v>1</v>
      </c>
      <c r="D123" s="88">
        <v>8317144.8867469896</v>
      </c>
      <c r="E123" s="88">
        <v>735626.19902410684</v>
      </c>
      <c r="F123" s="88">
        <v>9052771.0857710969</v>
      </c>
      <c r="G123" s="78">
        <v>516</v>
      </c>
      <c r="H123" s="78">
        <v>0</v>
      </c>
      <c r="I123" s="30">
        <v>0</v>
      </c>
      <c r="J123" s="30">
        <v>2807</v>
      </c>
      <c r="K123" s="30">
        <v>121</v>
      </c>
      <c r="L123" s="81">
        <v>0.5</v>
      </c>
      <c r="M123" s="30">
        <f t="shared" si="14"/>
        <v>8289315.6595255341</v>
      </c>
      <c r="N123" s="30">
        <f t="shared" si="15"/>
        <v>7553689.4605014268</v>
      </c>
      <c r="O123" s="30">
        <f t="shared" si="16"/>
        <v>-763455.42624556273</v>
      </c>
      <c r="P123" s="48">
        <f t="shared" si="17"/>
        <v>8.4333892795051615E-2</v>
      </c>
    </row>
    <row r="124" spans="1:16" x14ac:dyDescent="0.2">
      <c r="A124" s="2">
        <v>44228</v>
      </c>
      <c r="B124">
        <f t="shared" si="12"/>
        <v>2021</v>
      </c>
      <c r="C124">
        <f t="shared" si="13"/>
        <v>2</v>
      </c>
      <c r="D124" s="88">
        <v>7899265.667469875</v>
      </c>
      <c r="E124" s="88">
        <v>735626.19902410684</v>
      </c>
      <c r="F124" s="88">
        <v>8634891.8664939813</v>
      </c>
      <c r="G124" s="78">
        <v>541.69999999999993</v>
      </c>
      <c r="H124" s="78">
        <v>0</v>
      </c>
      <c r="I124" s="30">
        <v>0</v>
      </c>
      <c r="J124" s="30">
        <v>2848</v>
      </c>
      <c r="K124" s="30">
        <v>122</v>
      </c>
      <c r="L124" s="81">
        <v>0.5</v>
      </c>
      <c r="M124" s="30">
        <f t="shared" si="14"/>
        <v>8573963.1683601253</v>
      </c>
      <c r="N124" s="30">
        <f t="shared" si="15"/>
        <v>7838336.969336018</v>
      </c>
      <c r="O124" s="30">
        <f t="shared" si="16"/>
        <v>-60928.698133856058</v>
      </c>
      <c r="P124" s="48">
        <f t="shared" si="17"/>
        <v>7.0561043584434473E-3</v>
      </c>
    </row>
    <row r="125" spans="1:16" x14ac:dyDescent="0.2">
      <c r="A125" s="2">
        <v>44256</v>
      </c>
      <c r="B125">
        <f t="shared" si="12"/>
        <v>2021</v>
      </c>
      <c r="C125">
        <f t="shared" si="13"/>
        <v>3</v>
      </c>
      <c r="D125" s="88">
        <v>7196997.5518072229</v>
      </c>
      <c r="E125" s="88">
        <v>735626.19902410684</v>
      </c>
      <c r="F125" s="88">
        <v>7932623.7508313302</v>
      </c>
      <c r="G125" s="78">
        <v>337.20000000000005</v>
      </c>
      <c r="H125" s="78">
        <v>0.5</v>
      </c>
      <c r="I125" s="30">
        <v>0</v>
      </c>
      <c r="J125" s="30">
        <v>2849</v>
      </c>
      <c r="K125" s="30">
        <v>123</v>
      </c>
      <c r="L125" s="81">
        <v>0.5</v>
      </c>
      <c r="M125" s="30">
        <f t="shared" si="14"/>
        <v>7865393.5863960665</v>
      </c>
      <c r="N125" s="30">
        <f t="shared" si="15"/>
        <v>7129767.3873719592</v>
      </c>
      <c r="O125" s="30">
        <f t="shared" si="16"/>
        <v>-67230.164435263723</v>
      </c>
      <c r="P125" s="48">
        <f t="shared" si="17"/>
        <v>8.4751485192043896E-3</v>
      </c>
    </row>
    <row r="126" spans="1:16" x14ac:dyDescent="0.2">
      <c r="A126" s="2">
        <v>44287</v>
      </c>
      <c r="B126">
        <f t="shared" si="12"/>
        <v>2021</v>
      </c>
      <c r="C126">
        <f t="shared" si="13"/>
        <v>4</v>
      </c>
      <c r="D126" s="88">
        <v>6547512.9831325319</v>
      </c>
      <c r="E126" s="88">
        <v>735626.19902410684</v>
      </c>
      <c r="F126" s="88">
        <v>7283139.1821566392</v>
      </c>
      <c r="G126" s="78">
        <v>185.99999999999997</v>
      </c>
      <c r="H126" s="78">
        <v>3.5999999999999996</v>
      </c>
      <c r="I126" s="30">
        <v>0</v>
      </c>
      <c r="J126" s="30">
        <v>2861</v>
      </c>
      <c r="K126" s="30">
        <v>124</v>
      </c>
      <c r="L126" s="81">
        <v>0.5</v>
      </c>
      <c r="M126" s="30">
        <f t="shared" si="14"/>
        <v>7409132.4325716095</v>
      </c>
      <c r="N126" s="30">
        <f t="shared" si="15"/>
        <v>6673506.2335475031</v>
      </c>
      <c r="O126" s="30">
        <f t="shared" si="16"/>
        <v>125993.25041497033</v>
      </c>
      <c r="P126" s="48">
        <f t="shared" si="17"/>
        <v>1.7299305596637241E-2</v>
      </c>
    </row>
    <row r="127" spans="1:16" x14ac:dyDescent="0.2">
      <c r="A127" s="2">
        <v>44317</v>
      </c>
      <c r="B127">
        <f t="shared" si="12"/>
        <v>2021</v>
      </c>
      <c r="C127">
        <f t="shared" si="13"/>
        <v>5</v>
      </c>
      <c r="D127" s="88">
        <v>5916481.4457831262</v>
      </c>
      <c r="E127" s="88">
        <v>735626.19902410684</v>
      </c>
      <c r="F127" s="88">
        <v>6652107.6448072325</v>
      </c>
      <c r="G127" s="78">
        <v>80.299999999999983</v>
      </c>
      <c r="H127" s="78">
        <v>67.999999999999986</v>
      </c>
      <c r="I127" s="30">
        <v>0</v>
      </c>
      <c r="J127" s="30">
        <v>2864</v>
      </c>
      <c r="K127" s="30">
        <v>125</v>
      </c>
      <c r="L127" s="81">
        <v>0.5</v>
      </c>
      <c r="M127" s="30">
        <f t="shared" si="14"/>
        <v>7367866.5300032487</v>
      </c>
      <c r="N127" s="30">
        <f t="shared" si="15"/>
        <v>6632240.3309791423</v>
      </c>
      <c r="O127" s="30">
        <f t="shared" si="16"/>
        <v>715758.88519601617</v>
      </c>
      <c r="P127" s="48">
        <f t="shared" si="17"/>
        <v>0.10759881279954207</v>
      </c>
    </row>
    <row r="128" spans="1:16" x14ac:dyDescent="0.2">
      <c r="A128" s="2">
        <v>44348</v>
      </c>
      <c r="B128">
        <f t="shared" ref="B128:B134" si="18">YEAR(A128)</f>
        <v>2021</v>
      </c>
      <c r="C128">
        <f t="shared" ref="C128:C134" si="19">MONTH(A128)</f>
        <v>6</v>
      </c>
      <c r="D128" s="88">
        <v>6502732.9156626537</v>
      </c>
      <c r="E128" s="88">
        <v>735626.19902410684</v>
      </c>
      <c r="F128" s="88">
        <v>7238359.1146867611</v>
      </c>
      <c r="G128" s="78">
        <v>0</v>
      </c>
      <c r="H128" s="78">
        <v>235.00000000000006</v>
      </c>
      <c r="I128" s="30">
        <v>0</v>
      </c>
      <c r="J128" s="30">
        <v>2867</v>
      </c>
      <c r="K128" s="30">
        <v>126</v>
      </c>
      <c r="L128" s="81">
        <v>0.5</v>
      </c>
      <c r="M128" s="30">
        <f t="shared" ref="M128:M134" si="20">$R$19+G128*$R$20+H128*$R$21+I128*$R$22+J128*$R$23+K128*$R$24+L128*$R$25</f>
        <v>7923351.3436667435</v>
      </c>
      <c r="N128" s="30">
        <f t="shared" ref="N128:N134" si="21">M128-E128</f>
        <v>7187725.1446426362</v>
      </c>
      <c r="O128" s="30">
        <f t="shared" ref="O128:O134" si="22">+M128-F128</f>
        <v>684992.22897998244</v>
      </c>
      <c r="P128" s="48">
        <f t="shared" ref="P128:P134" si="23">ABS(O128/F128)</f>
        <v>9.4633634243169951E-2</v>
      </c>
    </row>
    <row r="129" spans="1:19" x14ac:dyDescent="0.2">
      <c r="A129" s="2">
        <v>44378</v>
      </c>
      <c r="B129">
        <f t="shared" si="18"/>
        <v>2021</v>
      </c>
      <c r="C129">
        <f t="shared" si="19"/>
        <v>7</v>
      </c>
      <c r="D129" s="88">
        <v>7081289.7349397596</v>
      </c>
      <c r="E129" s="88">
        <v>735626.19902410684</v>
      </c>
      <c r="F129" s="88">
        <v>7816915.9339638669</v>
      </c>
      <c r="G129" s="78">
        <v>0</v>
      </c>
      <c r="H129" s="78">
        <v>228.30000000000004</v>
      </c>
      <c r="I129" s="30">
        <v>0</v>
      </c>
      <c r="J129" s="30">
        <v>2870</v>
      </c>
      <c r="K129" s="30">
        <v>127</v>
      </c>
      <c r="L129" s="81">
        <v>0.5</v>
      </c>
      <c r="M129" s="30">
        <f t="shared" si="20"/>
        <v>7892703.9054347761</v>
      </c>
      <c r="N129" s="30">
        <f t="shared" si="21"/>
        <v>7157077.7064106688</v>
      </c>
      <c r="O129" s="30">
        <f t="shared" si="22"/>
        <v>75787.971470909193</v>
      </c>
      <c r="P129" s="48">
        <f t="shared" si="23"/>
        <v>9.6953801359966774E-3</v>
      </c>
    </row>
    <row r="130" spans="1:19" x14ac:dyDescent="0.2">
      <c r="A130" s="2">
        <v>44409</v>
      </c>
      <c r="B130">
        <f t="shared" si="18"/>
        <v>2021</v>
      </c>
      <c r="C130">
        <f t="shared" si="19"/>
        <v>8</v>
      </c>
      <c r="D130" s="88">
        <v>7851599.4891566234</v>
      </c>
      <c r="E130" s="88">
        <v>735626.19902410684</v>
      </c>
      <c r="F130" s="88">
        <v>8587225.6881807297</v>
      </c>
      <c r="G130" s="78">
        <v>0</v>
      </c>
      <c r="H130" s="78">
        <v>303.39999999999998</v>
      </c>
      <c r="I130" s="30">
        <v>0</v>
      </c>
      <c r="J130" s="30">
        <v>2898</v>
      </c>
      <c r="K130" s="30">
        <v>128</v>
      </c>
      <c r="L130" s="81">
        <v>0.5</v>
      </c>
      <c r="M130" s="30">
        <f t="shared" si="20"/>
        <v>8395550.6622963417</v>
      </c>
      <c r="N130" s="30">
        <f t="shared" si="21"/>
        <v>7659924.4632722344</v>
      </c>
      <c r="O130" s="30">
        <f t="shared" si="22"/>
        <v>-191675.02588438801</v>
      </c>
      <c r="P130" s="48">
        <f t="shared" si="23"/>
        <v>2.2320948912313478E-2</v>
      </c>
    </row>
    <row r="131" spans="1:19" x14ac:dyDescent="0.2">
      <c r="A131" s="2">
        <v>44440</v>
      </c>
      <c r="B131">
        <f t="shared" si="18"/>
        <v>2021</v>
      </c>
      <c r="C131">
        <f t="shared" si="19"/>
        <v>9</v>
      </c>
      <c r="D131" s="88">
        <v>7157403.4891566234</v>
      </c>
      <c r="E131" s="88">
        <v>735626.19902410684</v>
      </c>
      <c r="F131" s="88">
        <v>7893029.6881807297</v>
      </c>
      <c r="G131" s="78">
        <v>3</v>
      </c>
      <c r="H131" s="78">
        <v>112.3</v>
      </c>
      <c r="I131" s="30">
        <v>1</v>
      </c>
      <c r="J131" s="30">
        <v>2914</v>
      </c>
      <c r="K131" s="30">
        <v>129</v>
      </c>
      <c r="L131" s="81">
        <v>0.5</v>
      </c>
      <c r="M131" s="30">
        <f t="shared" si="20"/>
        <v>7238950.049945334</v>
      </c>
      <c r="N131" s="30">
        <f t="shared" si="21"/>
        <v>6503323.8509212267</v>
      </c>
      <c r="O131" s="30">
        <f t="shared" si="22"/>
        <v>-654079.63823539577</v>
      </c>
      <c r="P131" s="48">
        <f t="shared" si="23"/>
        <v>8.2868006845943476E-2</v>
      </c>
    </row>
    <row r="132" spans="1:19" x14ac:dyDescent="0.2">
      <c r="A132" s="2">
        <v>44470</v>
      </c>
      <c r="B132">
        <f t="shared" si="18"/>
        <v>2021</v>
      </c>
      <c r="C132">
        <f t="shared" si="19"/>
        <v>10</v>
      </c>
      <c r="D132" s="88">
        <v>6765314.053012046</v>
      </c>
      <c r="E132" s="88">
        <v>735626.19902410684</v>
      </c>
      <c r="F132" s="88">
        <v>7500940.2520361524</v>
      </c>
      <c r="G132" s="78">
        <v>68.600000000000009</v>
      </c>
      <c r="H132" s="78">
        <v>52.999999999999986</v>
      </c>
      <c r="I132" s="30">
        <v>1</v>
      </c>
      <c r="J132" s="30">
        <v>2906</v>
      </c>
      <c r="K132" s="30">
        <v>130</v>
      </c>
      <c r="L132" s="81">
        <v>0.5</v>
      </c>
      <c r="M132" s="30">
        <f t="shared" si="20"/>
        <v>7116774.9813139923</v>
      </c>
      <c r="N132" s="30">
        <f t="shared" si="21"/>
        <v>6381148.782289885</v>
      </c>
      <c r="O132" s="30">
        <f t="shared" si="22"/>
        <v>-384165.27072216012</v>
      </c>
      <c r="P132" s="48">
        <f t="shared" si="23"/>
        <v>5.1215615351405758E-2</v>
      </c>
    </row>
    <row r="133" spans="1:19" x14ac:dyDescent="0.2">
      <c r="A133" s="2">
        <v>44501</v>
      </c>
      <c r="B133">
        <f t="shared" si="18"/>
        <v>2021</v>
      </c>
      <c r="C133">
        <f t="shared" si="19"/>
        <v>11</v>
      </c>
      <c r="D133" s="88">
        <v>6721158.9108433723</v>
      </c>
      <c r="E133" s="88">
        <v>735626.19902410684</v>
      </c>
      <c r="F133" s="88">
        <v>7456785.1098674797</v>
      </c>
      <c r="G133" s="78">
        <v>293.70000000000005</v>
      </c>
      <c r="H133" s="78">
        <v>0</v>
      </c>
      <c r="I133" s="30">
        <v>1</v>
      </c>
      <c r="J133" s="30">
        <v>2907</v>
      </c>
      <c r="K133" s="30">
        <v>131</v>
      </c>
      <c r="L133" s="81">
        <v>0.5</v>
      </c>
      <c r="M133" s="30">
        <f t="shared" si="20"/>
        <v>7620413.334148691</v>
      </c>
      <c r="N133" s="30">
        <f t="shared" si="21"/>
        <v>6884787.1351245847</v>
      </c>
      <c r="O133" s="30">
        <f t="shared" si="22"/>
        <v>163628.22428121138</v>
      </c>
      <c r="P133" s="48">
        <f t="shared" si="23"/>
        <v>2.1943534897456547E-2</v>
      </c>
    </row>
    <row r="134" spans="1:19" x14ac:dyDescent="0.2">
      <c r="A134" s="2">
        <v>44531</v>
      </c>
      <c r="B134">
        <f t="shared" si="18"/>
        <v>2021</v>
      </c>
      <c r="C134">
        <f t="shared" si="19"/>
        <v>12</v>
      </c>
      <c r="D134" s="88">
        <v>7522268.6361445729</v>
      </c>
      <c r="E134" s="88">
        <v>735626.19902410684</v>
      </c>
      <c r="F134" s="88">
        <v>8257894.8351686802</v>
      </c>
      <c r="G134" s="78">
        <v>381.4</v>
      </c>
      <c r="H134" s="78">
        <v>0</v>
      </c>
      <c r="I134" s="30">
        <v>0</v>
      </c>
      <c r="J134" s="30">
        <v>2918</v>
      </c>
      <c r="K134" s="30">
        <v>132</v>
      </c>
      <c r="L134" s="81">
        <v>0.5</v>
      </c>
      <c r="M134" s="30">
        <f t="shared" si="20"/>
        <v>8252506.7455614917</v>
      </c>
      <c r="N134" s="30">
        <f t="shared" si="21"/>
        <v>7516880.5465373844</v>
      </c>
      <c r="O134" s="30">
        <f t="shared" si="22"/>
        <v>-5388.0896071884781</v>
      </c>
      <c r="P134" s="48">
        <f t="shared" si="23"/>
        <v>6.5247738252147624E-4</v>
      </c>
      <c r="Q134" s="27" t="s">
        <v>11</v>
      </c>
    </row>
    <row r="135" spans="1:19" x14ac:dyDescent="0.2">
      <c r="A135" s="2">
        <v>44562</v>
      </c>
      <c r="B135">
        <f t="shared" ref="B135:B158" si="24">YEAR(A135)</f>
        <v>2022</v>
      </c>
      <c r="C135">
        <f t="shared" ref="C135:C158" si="25">MONTH(A135)</f>
        <v>1</v>
      </c>
      <c r="E135" s="88">
        <v>719649.09172747855</v>
      </c>
      <c r="F135" s="88"/>
      <c r="G135" s="84">
        <v>563.5</v>
      </c>
      <c r="H135" s="84">
        <v>0</v>
      </c>
      <c r="I135" s="30">
        <f t="shared" ref="I135:I139" si="26">I111</f>
        <v>0</v>
      </c>
      <c r="J135" s="93">
        <f>'Rate Class Customer Model'!E60</f>
        <v>2922.3728559552128</v>
      </c>
      <c r="K135" s="30">
        <f t="shared" ref="K135:K158" si="27">K134+1</f>
        <v>133</v>
      </c>
      <c r="L135" s="99">
        <f>Q135*0.5</f>
        <v>0.375</v>
      </c>
      <c r="M135" s="30">
        <f t="shared" ref="M135:M158" si="28">$R$19+G135*$R$20+H135*$R$21+I135*$R$22+J135*$R$23+K135*$R$24+L135*$R$25</f>
        <v>8973274.9369249493</v>
      </c>
      <c r="N135" s="30">
        <f t="shared" ref="N135:N158" si="29">M135-E135</f>
        <v>8253625.8451974709</v>
      </c>
      <c r="O135" s="30">
        <f t="shared" ref="O135:O158" si="30">+M135-F135</f>
        <v>8973274.9369249493</v>
      </c>
      <c r="P135" s="48"/>
      <c r="Q135">
        <v>0.75</v>
      </c>
    </row>
    <row r="136" spans="1:19" x14ac:dyDescent="0.2">
      <c r="A136" s="2">
        <v>44593</v>
      </c>
      <c r="B136">
        <f t="shared" si="24"/>
        <v>2022</v>
      </c>
      <c r="C136">
        <f t="shared" si="25"/>
        <v>2</v>
      </c>
      <c r="E136" s="88">
        <f>E135</f>
        <v>719649.09172747855</v>
      </c>
      <c r="F136" s="88"/>
      <c r="G136" s="84">
        <v>516.6099999999999</v>
      </c>
      <c r="H136" s="84">
        <v>0</v>
      </c>
      <c r="I136" s="30">
        <f t="shared" si="26"/>
        <v>0</v>
      </c>
      <c r="J136" s="93">
        <f>'Rate Class Customer Model'!E61</f>
        <v>2926.7522649841762</v>
      </c>
      <c r="K136" s="30">
        <f t="shared" si="27"/>
        <v>134</v>
      </c>
      <c r="L136" s="99">
        <f t="shared" ref="L136:L158" si="31">Q136*0.5</f>
        <v>0.375</v>
      </c>
      <c r="M136" s="30">
        <f t="shared" si="28"/>
        <v>8821618.4646423087</v>
      </c>
      <c r="N136" s="30">
        <f t="shared" si="29"/>
        <v>8101969.3729148302</v>
      </c>
      <c r="O136" s="30">
        <f t="shared" si="30"/>
        <v>8821618.4646423087</v>
      </c>
      <c r="P136" s="48"/>
      <c r="Q136">
        <f>Q135</f>
        <v>0.75</v>
      </c>
    </row>
    <row r="137" spans="1:19" x14ac:dyDescent="0.2">
      <c r="A137" s="2">
        <v>44621</v>
      </c>
      <c r="B137">
        <f t="shared" si="24"/>
        <v>2022</v>
      </c>
      <c r="C137">
        <f t="shared" si="25"/>
        <v>3</v>
      </c>
      <c r="E137" s="88">
        <f>E136</f>
        <v>719649.09172747855</v>
      </c>
      <c r="F137" s="88"/>
      <c r="G137" s="84">
        <v>409.90999999999997</v>
      </c>
      <c r="H137" s="84">
        <v>1.1599999999999999</v>
      </c>
      <c r="I137" s="30">
        <f t="shared" si="26"/>
        <v>0</v>
      </c>
      <c r="J137" s="93">
        <f>'Rate Class Customer Model'!E62</f>
        <v>2931.1382369071948</v>
      </c>
      <c r="K137" s="30">
        <f t="shared" si="27"/>
        <v>135</v>
      </c>
      <c r="L137" s="99">
        <f t="shared" si="31"/>
        <v>0.375</v>
      </c>
      <c r="M137" s="30">
        <f t="shared" si="28"/>
        <v>8470008.9193696454</v>
      </c>
      <c r="N137" s="30">
        <f t="shared" si="29"/>
        <v>7750359.827642167</v>
      </c>
      <c r="O137" s="30">
        <f t="shared" si="30"/>
        <v>8470008.9193696454</v>
      </c>
      <c r="P137" s="48"/>
      <c r="Q137">
        <f t="shared" ref="Q137:Q158" si="32">Q136</f>
        <v>0.75</v>
      </c>
    </row>
    <row r="138" spans="1:19" x14ac:dyDescent="0.2">
      <c r="A138" s="2">
        <v>44652</v>
      </c>
      <c r="B138">
        <f t="shared" si="24"/>
        <v>2022</v>
      </c>
      <c r="C138">
        <f t="shared" si="25"/>
        <v>4</v>
      </c>
      <c r="E138" s="88">
        <f t="shared" ref="E138:E146" si="33">E137</f>
        <v>719649.09172747855</v>
      </c>
      <c r="F138" s="88"/>
      <c r="G138" s="84">
        <v>227.5</v>
      </c>
      <c r="H138" s="84">
        <v>2.3099999999999996</v>
      </c>
      <c r="I138" s="30">
        <f t="shared" si="26"/>
        <v>0</v>
      </c>
      <c r="J138" s="93">
        <f>'Rate Class Customer Model'!E63</f>
        <v>2935.5307815592892</v>
      </c>
      <c r="K138" s="30">
        <f t="shared" si="27"/>
        <v>136</v>
      </c>
      <c r="L138" s="99">
        <f t="shared" si="31"/>
        <v>0.375</v>
      </c>
      <c r="M138" s="30">
        <f t="shared" si="28"/>
        <v>7857941.9192644758</v>
      </c>
      <c r="N138" s="30">
        <f t="shared" si="29"/>
        <v>7138292.8275369974</v>
      </c>
      <c r="O138" s="30">
        <f t="shared" si="30"/>
        <v>7857941.9192644758</v>
      </c>
      <c r="P138" s="48"/>
      <c r="Q138">
        <f t="shared" si="32"/>
        <v>0.75</v>
      </c>
    </row>
    <row r="139" spans="1:19" x14ac:dyDescent="0.2">
      <c r="A139" s="2">
        <v>44682</v>
      </c>
      <c r="B139">
        <f t="shared" si="24"/>
        <v>2022</v>
      </c>
      <c r="C139">
        <f t="shared" si="25"/>
        <v>5</v>
      </c>
      <c r="E139" s="88">
        <f t="shared" si="33"/>
        <v>719649.09172747855</v>
      </c>
      <c r="F139" s="88"/>
      <c r="G139" s="84">
        <v>59.269999999999982</v>
      </c>
      <c r="H139" s="84">
        <v>70.86</v>
      </c>
      <c r="I139" s="30">
        <f t="shared" si="26"/>
        <v>0</v>
      </c>
      <c r="J139" s="93">
        <f>'Rate Class Customer Model'!E64</f>
        <v>2939.9299087902186</v>
      </c>
      <c r="K139" s="30">
        <f t="shared" si="27"/>
        <v>137</v>
      </c>
      <c r="L139" s="99">
        <f t="shared" si="31"/>
        <v>0.375</v>
      </c>
      <c r="M139" s="30">
        <f t="shared" si="28"/>
        <v>7629306.1745864637</v>
      </c>
      <c r="N139" s="30">
        <f t="shared" si="29"/>
        <v>6909657.0828589853</v>
      </c>
      <c r="O139" s="30">
        <f t="shared" si="30"/>
        <v>7629306.1745864637</v>
      </c>
      <c r="P139" s="48"/>
      <c r="Q139">
        <f t="shared" si="32"/>
        <v>0.75</v>
      </c>
    </row>
    <row r="140" spans="1:19" x14ac:dyDescent="0.2">
      <c r="A140" s="2">
        <v>44713</v>
      </c>
      <c r="B140">
        <f t="shared" si="24"/>
        <v>2022</v>
      </c>
      <c r="C140">
        <f t="shared" si="25"/>
        <v>6</v>
      </c>
      <c r="E140" s="88">
        <f t="shared" si="33"/>
        <v>719649.09172747855</v>
      </c>
      <c r="F140" s="88"/>
      <c r="G140" s="84">
        <v>1.85</v>
      </c>
      <c r="H140" s="84">
        <v>171.74</v>
      </c>
      <c r="I140" s="30">
        <f t="shared" ref="I140:I146" si="34">I116</f>
        <v>0</v>
      </c>
      <c r="J140" s="93">
        <f>'Rate Class Customer Model'!E65</f>
        <v>2944.3356284645029</v>
      </c>
      <c r="K140" s="30">
        <f t="shared" si="27"/>
        <v>138</v>
      </c>
      <c r="L140" s="99">
        <f t="shared" si="31"/>
        <v>0.375</v>
      </c>
      <c r="M140" s="30">
        <f t="shared" si="28"/>
        <v>7942396.5722210687</v>
      </c>
      <c r="N140" s="30">
        <f t="shared" si="29"/>
        <v>7222747.4804935902</v>
      </c>
      <c r="O140" s="30">
        <f t="shared" si="30"/>
        <v>7942396.5722210687</v>
      </c>
      <c r="P140" s="48"/>
      <c r="Q140">
        <f t="shared" si="32"/>
        <v>0.75</v>
      </c>
    </row>
    <row r="141" spans="1:19" x14ac:dyDescent="0.2">
      <c r="A141" s="2">
        <v>44743</v>
      </c>
      <c r="B141">
        <f t="shared" si="24"/>
        <v>2022</v>
      </c>
      <c r="C141">
        <f t="shared" si="25"/>
        <v>7</v>
      </c>
      <c r="E141" s="88">
        <f t="shared" si="33"/>
        <v>719649.09172747855</v>
      </c>
      <c r="F141" s="88"/>
      <c r="G141" s="84">
        <v>0</v>
      </c>
      <c r="H141" s="84">
        <v>269.41000000000003</v>
      </c>
      <c r="I141" s="30">
        <f t="shared" si="34"/>
        <v>0</v>
      </c>
      <c r="J141" s="93">
        <f>'Rate Class Customer Model'!E66</f>
        <v>2948.7479504614444</v>
      </c>
      <c r="K141" s="30">
        <f t="shared" si="27"/>
        <v>139</v>
      </c>
      <c r="L141" s="99">
        <f t="shared" si="31"/>
        <v>0.375</v>
      </c>
      <c r="M141" s="30">
        <f t="shared" si="28"/>
        <v>8430744.0137924924</v>
      </c>
      <c r="N141" s="30">
        <f t="shared" si="29"/>
        <v>7711094.922065014</v>
      </c>
      <c r="O141" s="30">
        <f t="shared" si="30"/>
        <v>8430744.0137924924</v>
      </c>
      <c r="P141" s="48"/>
      <c r="Q141">
        <f t="shared" si="32"/>
        <v>0.75</v>
      </c>
    </row>
    <row r="142" spans="1:19" x14ac:dyDescent="0.2">
      <c r="A142" s="2">
        <v>44774</v>
      </c>
      <c r="B142">
        <f t="shared" si="24"/>
        <v>2022</v>
      </c>
      <c r="C142">
        <f t="shared" si="25"/>
        <v>8</v>
      </c>
      <c r="E142" s="88">
        <f t="shared" si="33"/>
        <v>719649.09172747855</v>
      </c>
      <c r="F142" s="88"/>
      <c r="G142" s="84">
        <v>0</v>
      </c>
      <c r="H142" s="84">
        <v>242.46000000000004</v>
      </c>
      <c r="I142" s="30">
        <f t="shared" si="34"/>
        <v>0</v>
      </c>
      <c r="J142" s="93">
        <f>'Rate Class Customer Model'!E67</f>
        <v>2953.1668846751513</v>
      </c>
      <c r="K142" s="30">
        <f t="shared" si="27"/>
        <v>140</v>
      </c>
      <c r="L142" s="99">
        <f t="shared" si="31"/>
        <v>0.375</v>
      </c>
      <c r="M142" s="30">
        <f t="shared" si="28"/>
        <v>8306792.0130792381</v>
      </c>
      <c r="N142" s="30">
        <f t="shared" si="29"/>
        <v>7587142.9213517597</v>
      </c>
      <c r="O142" s="30">
        <f t="shared" si="30"/>
        <v>8306792.0130792381</v>
      </c>
      <c r="P142" s="48"/>
      <c r="Q142">
        <f t="shared" si="32"/>
        <v>0.75</v>
      </c>
    </row>
    <row r="143" spans="1:19" x14ac:dyDescent="0.2">
      <c r="A143" s="2">
        <v>44805</v>
      </c>
      <c r="B143">
        <f t="shared" si="24"/>
        <v>2022</v>
      </c>
      <c r="C143">
        <f t="shared" si="25"/>
        <v>9</v>
      </c>
      <c r="E143" s="88">
        <f t="shared" si="33"/>
        <v>719649.09172747855</v>
      </c>
      <c r="F143" s="88"/>
      <c r="G143" s="84">
        <v>10.66</v>
      </c>
      <c r="H143" s="84">
        <v>124.26999999999998</v>
      </c>
      <c r="I143" s="30">
        <f t="shared" si="34"/>
        <v>1</v>
      </c>
      <c r="J143" s="93">
        <f>'Rate Class Customer Model'!E68</f>
        <v>2957.5924410145581</v>
      </c>
      <c r="K143" s="30">
        <f t="shared" si="27"/>
        <v>141</v>
      </c>
      <c r="L143" s="99">
        <f t="shared" si="31"/>
        <v>0.375</v>
      </c>
      <c r="M143" s="30">
        <f t="shared" si="28"/>
        <v>7479539.6734467363</v>
      </c>
      <c r="N143" s="30">
        <f t="shared" si="29"/>
        <v>6759890.5817192579</v>
      </c>
      <c r="O143" s="30">
        <f t="shared" si="30"/>
        <v>7479539.6734467363</v>
      </c>
      <c r="P143" s="48"/>
      <c r="Q143">
        <f t="shared" si="32"/>
        <v>0.75</v>
      </c>
    </row>
    <row r="144" spans="1:19" x14ac:dyDescent="0.2">
      <c r="A144" s="2">
        <v>44835</v>
      </c>
      <c r="B144">
        <f t="shared" si="24"/>
        <v>2022</v>
      </c>
      <c r="C144">
        <f t="shared" si="25"/>
        <v>10</v>
      </c>
      <c r="E144" s="88">
        <f t="shared" si="33"/>
        <v>719649.09172747855</v>
      </c>
      <c r="F144" s="88"/>
      <c r="G144" s="84">
        <v>118.80999999999999</v>
      </c>
      <c r="H144" s="84">
        <v>23.209999999999997</v>
      </c>
      <c r="I144" s="30">
        <f t="shared" si="34"/>
        <v>1</v>
      </c>
      <c r="J144" s="93">
        <f>'Rate Class Customer Model'!E69</f>
        <v>2962.0246294034487</v>
      </c>
      <c r="K144" s="30">
        <f t="shared" si="27"/>
        <v>142</v>
      </c>
      <c r="L144" s="99">
        <f t="shared" si="31"/>
        <v>0.375</v>
      </c>
      <c r="M144" s="30">
        <f t="shared" si="28"/>
        <v>7359757.9812976429</v>
      </c>
      <c r="N144" s="30">
        <f t="shared" si="29"/>
        <v>6640108.8895701645</v>
      </c>
      <c r="O144" s="30">
        <f t="shared" si="30"/>
        <v>7359757.9812976429</v>
      </c>
      <c r="P144" s="48"/>
      <c r="Q144">
        <f t="shared" si="32"/>
        <v>0.75</v>
      </c>
      <c r="R144" s="132"/>
      <c r="S144" s="133"/>
    </row>
    <row r="145" spans="1:19" x14ac:dyDescent="0.2">
      <c r="A145" s="2">
        <v>44866</v>
      </c>
      <c r="B145">
        <f t="shared" si="24"/>
        <v>2022</v>
      </c>
      <c r="C145">
        <f t="shared" si="25"/>
        <v>11</v>
      </c>
      <c r="E145" s="88">
        <f t="shared" si="33"/>
        <v>719649.09172747855</v>
      </c>
      <c r="F145" s="88"/>
      <c r="G145" s="84">
        <v>307.13</v>
      </c>
      <c r="H145" s="84">
        <v>0.89</v>
      </c>
      <c r="I145" s="30">
        <f t="shared" si="34"/>
        <v>1</v>
      </c>
      <c r="J145" s="93">
        <f>'Rate Class Customer Model'!E70</f>
        <v>2966.4634597804788</v>
      </c>
      <c r="K145" s="30">
        <f t="shared" si="27"/>
        <v>143</v>
      </c>
      <c r="L145" s="99">
        <f t="shared" si="31"/>
        <v>0.375</v>
      </c>
      <c r="M145" s="30">
        <f>$R$19+G145*$R$20+H145*$R$21+I145*$R$22+J145*$R$23+K145*$R$24+L145*$R$25</f>
        <v>7906711.8388897739</v>
      </c>
      <c r="N145" s="30">
        <f t="shared" si="29"/>
        <v>7187062.7471622955</v>
      </c>
      <c r="O145" s="30">
        <f t="shared" si="30"/>
        <v>7906711.8388897739</v>
      </c>
      <c r="P145" s="48"/>
      <c r="Q145">
        <f t="shared" si="32"/>
        <v>0.75</v>
      </c>
      <c r="R145" s="132"/>
      <c r="S145" s="133"/>
    </row>
    <row r="146" spans="1:19" x14ac:dyDescent="0.2">
      <c r="A146" s="2">
        <v>44896</v>
      </c>
      <c r="B146">
        <f t="shared" si="24"/>
        <v>2022</v>
      </c>
      <c r="C146">
        <f t="shared" si="25"/>
        <v>12</v>
      </c>
      <c r="E146" s="88">
        <f t="shared" si="33"/>
        <v>719649.09172747855</v>
      </c>
      <c r="F146" s="88"/>
      <c r="G146" s="84">
        <v>451.35999999999996</v>
      </c>
      <c r="H146" s="84">
        <v>0</v>
      </c>
      <c r="I146" s="30">
        <f t="shared" si="34"/>
        <v>0</v>
      </c>
      <c r="J146" s="93">
        <f>'Rate Class Customer Model'!E71</f>
        <v>2970.9089420991977</v>
      </c>
      <c r="K146" s="30">
        <f t="shared" si="27"/>
        <v>144</v>
      </c>
      <c r="L146" s="99">
        <f t="shared" si="31"/>
        <v>0.375</v>
      </c>
      <c r="M146" s="30">
        <f t="shared" si="28"/>
        <v>8695451.3835787997</v>
      </c>
      <c r="N146" s="30">
        <f t="shared" si="29"/>
        <v>7975802.2918513212</v>
      </c>
      <c r="O146" s="30">
        <f t="shared" si="30"/>
        <v>8695451.3835787997</v>
      </c>
      <c r="P146" s="48"/>
      <c r="Q146">
        <f t="shared" si="32"/>
        <v>0.75</v>
      </c>
      <c r="R146" s="132"/>
      <c r="S146" s="133"/>
    </row>
    <row r="147" spans="1:19" ht="12.75" customHeight="1" x14ac:dyDescent="0.2">
      <c r="A147" s="2">
        <v>44927</v>
      </c>
      <c r="B147">
        <f t="shared" si="24"/>
        <v>2023</v>
      </c>
      <c r="C147">
        <f t="shared" si="25"/>
        <v>1</v>
      </c>
      <c r="E147" s="88">
        <v>704474.46517617174</v>
      </c>
      <c r="G147" s="84">
        <f>G135</f>
        <v>563.5</v>
      </c>
      <c r="H147" s="84">
        <f>H135</f>
        <v>0</v>
      </c>
      <c r="I147" s="30">
        <f>I135</f>
        <v>0</v>
      </c>
      <c r="J147" s="93">
        <f>'Rate Class Customer Model'!E72</f>
        <v>2975.3610863280715</v>
      </c>
      <c r="K147" s="30">
        <f t="shared" si="27"/>
        <v>145</v>
      </c>
      <c r="L147" s="99">
        <f t="shared" si="31"/>
        <v>0.25</v>
      </c>
      <c r="M147" s="30">
        <f t="shared" si="28"/>
        <v>9175962.195714755</v>
      </c>
      <c r="N147" s="30">
        <f t="shared" si="29"/>
        <v>8471487.7305385824</v>
      </c>
      <c r="O147" s="30">
        <f t="shared" si="30"/>
        <v>9175962.195714755</v>
      </c>
      <c r="P147" s="48"/>
      <c r="Q147">
        <v>0.5</v>
      </c>
      <c r="R147" s="28"/>
      <c r="S147" s="39"/>
    </row>
    <row r="148" spans="1:19" x14ac:dyDescent="0.2">
      <c r="A148" s="2">
        <v>44958</v>
      </c>
      <c r="B148">
        <f t="shared" si="24"/>
        <v>2023</v>
      </c>
      <c r="C148">
        <f t="shared" si="25"/>
        <v>2</v>
      </c>
      <c r="E148" s="58">
        <f>E147</f>
        <v>704474.46517617174</v>
      </c>
      <c r="G148" s="84">
        <f t="shared" ref="G148:H158" si="35">G136</f>
        <v>516.6099999999999</v>
      </c>
      <c r="H148" s="84">
        <f t="shared" si="35"/>
        <v>0</v>
      </c>
      <c r="I148" s="30">
        <f t="shared" ref="I148:I158" si="36">I136</f>
        <v>0</v>
      </c>
      <c r="J148" s="93">
        <f>'Rate Class Customer Model'!E73</f>
        <v>2979.8199024505038</v>
      </c>
      <c r="K148" s="30">
        <f t="shared" si="27"/>
        <v>146</v>
      </c>
      <c r="L148" s="99">
        <f t="shared" si="31"/>
        <v>0.25</v>
      </c>
      <c r="M148" s="30">
        <f t="shared" si="28"/>
        <v>9024710.3319029883</v>
      </c>
      <c r="N148" s="30">
        <f t="shared" si="29"/>
        <v>8320235.8667268166</v>
      </c>
      <c r="O148" s="30">
        <f t="shared" si="30"/>
        <v>9024710.3319029883</v>
      </c>
      <c r="P148" s="48"/>
      <c r="Q148">
        <f t="shared" si="32"/>
        <v>0.5</v>
      </c>
      <c r="R148" s="28"/>
      <c r="S148" s="39"/>
    </row>
    <row r="149" spans="1:19" x14ac:dyDescent="0.2">
      <c r="A149" s="2">
        <v>44986</v>
      </c>
      <c r="B149">
        <f t="shared" si="24"/>
        <v>2023</v>
      </c>
      <c r="C149">
        <f t="shared" si="25"/>
        <v>3</v>
      </c>
      <c r="E149" s="58">
        <f t="shared" ref="E149:E158" si="37">E148</f>
        <v>704474.46517617174</v>
      </c>
      <c r="G149" s="84">
        <f t="shared" si="35"/>
        <v>409.90999999999997</v>
      </c>
      <c r="H149" s="84">
        <f t="shared" si="35"/>
        <v>1.1599999999999999</v>
      </c>
      <c r="I149" s="30">
        <f t="shared" si="36"/>
        <v>0</v>
      </c>
      <c r="J149" s="93">
        <f>'Rate Class Customer Model'!E74</f>
        <v>2984.2854004648602</v>
      </c>
      <c r="K149" s="30">
        <f t="shared" si="27"/>
        <v>147</v>
      </c>
      <c r="L149" s="99">
        <f t="shared" si="31"/>
        <v>0.25</v>
      </c>
      <c r="M149" s="30">
        <f t="shared" si="28"/>
        <v>8673506.0014392994</v>
      </c>
      <c r="N149" s="30">
        <f t="shared" si="29"/>
        <v>7969031.5362631278</v>
      </c>
      <c r="O149" s="30">
        <f t="shared" si="30"/>
        <v>8673506.0014392994</v>
      </c>
      <c r="P149" s="48"/>
      <c r="Q149">
        <f t="shared" si="32"/>
        <v>0.5</v>
      </c>
      <c r="R149" s="28"/>
      <c r="S149" s="39"/>
    </row>
    <row r="150" spans="1:19" x14ac:dyDescent="0.2">
      <c r="A150" s="2">
        <v>45017</v>
      </c>
      <c r="B150">
        <f t="shared" si="24"/>
        <v>2023</v>
      </c>
      <c r="C150">
        <f t="shared" si="25"/>
        <v>4</v>
      </c>
      <c r="E150" s="58">
        <f t="shared" si="37"/>
        <v>704474.46517617174</v>
      </c>
      <c r="G150" s="84">
        <f t="shared" si="35"/>
        <v>227.5</v>
      </c>
      <c r="H150" s="84">
        <f t="shared" si="35"/>
        <v>2.3099999999999996</v>
      </c>
      <c r="I150" s="30">
        <f t="shared" si="36"/>
        <v>0</v>
      </c>
      <c r="J150" s="93">
        <f>'Rate Class Customer Model'!E75</f>
        <v>2988.757590384489</v>
      </c>
      <c r="K150" s="30">
        <f t="shared" si="27"/>
        <v>148</v>
      </c>
      <c r="L150" s="99">
        <f t="shared" si="31"/>
        <v>0.25</v>
      </c>
      <c r="M150" s="30">
        <f t="shared" si="28"/>
        <v>8061844.8233898431</v>
      </c>
      <c r="N150" s="30">
        <f t="shared" si="29"/>
        <v>7357370.3582136715</v>
      </c>
      <c r="O150" s="30">
        <f t="shared" si="30"/>
        <v>8061844.8233898431</v>
      </c>
      <c r="P150" s="48"/>
      <c r="Q150">
        <f t="shared" si="32"/>
        <v>0.5</v>
      </c>
      <c r="R150" s="28"/>
      <c r="S150" s="39"/>
    </row>
    <row r="151" spans="1:19" x14ac:dyDescent="0.2">
      <c r="A151" s="2">
        <v>45047</v>
      </c>
      <c r="B151">
        <f t="shared" si="24"/>
        <v>2023</v>
      </c>
      <c r="C151">
        <f t="shared" si="25"/>
        <v>5</v>
      </c>
      <c r="E151" s="58">
        <f t="shared" si="37"/>
        <v>704474.46517617174</v>
      </c>
      <c r="G151" s="84">
        <f t="shared" si="35"/>
        <v>59.269999999999982</v>
      </c>
      <c r="H151" s="84">
        <f t="shared" si="35"/>
        <v>70.86</v>
      </c>
      <c r="I151" s="30">
        <f t="shared" si="36"/>
        <v>0</v>
      </c>
      <c r="J151" s="93">
        <f>'Rate Class Customer Model'!E76</f>
        <v>2993.2364822377444</v>
      </c>
      <c r="K151" s="30">
        <f t="shared" si="27"/>
        <v>149</v>
      </c>
      <c r="L151" s="99">
        <f t="shared" si="31"/>
        <v>0.25</v>
      </c>
      <c r="M151" s="30">
        <f t="shared" si="28"/>
        <v>7833615.5089242887</v>
      </c>
      <c r="N151" s="30">
        <f t="shared" si="29"/>
        <v>7129141.0437481171</v>
      </c>
      <c r="O151" s="30">
        <f t="shared" si="30"/>
        <v>7833615.5089242887</v>
      </c>
      <c r="P151" s="48"/>
      <c r="Q151">
        <f t="shared" si="32"/>
        <v>0.5</v>
      </c>
      <c r="R151" s="28"/>
      <c r="S151" s="39"/>
    </row>
    <row r="152" spans="1:19" x14ac:dyDescent="0.2">
      <c r="A152" s="2">
        <v>45078</v>
      </c>
      <c r="B152">
        <f t="shared" si="24"/>
        <v>2023</v>
      </c>
      <c r="C152">
        <f t="shared" si="25"/>
        <v>6</v>
      </c>
      <c r="E152" s="58">
        <f t="shared" si="37"/>
        <v>704474.46517617174</v>
      </c>
      <c r="G152" s="84">
        <f t="shared" si="35"/>
        <v>1.85</v>
      </c>
      <c r="H152" s="84">
        <f t="shared" si="35"/>
        <v>171.74</v>
      </c>
      <c r="I152" s="30">
        <f t="shared" si="36"/>
        <v>0</v>
      </c>
      <c r="J152" s="93">
        <f>'Rate Class Customer Model'!E77</f>
        <v>2997.7220860680095</v>
      </c>
      <c r="K152" s="30">
        <f t="shared" si="27"/>
        <v>150</v>
      </c>
      <c r="L152" s="99">
        <f t="shared" si="31"/>
        <v>0.25</v>
      </c>
      <c r="M152" s="30">
        <f t="shared" si="28"/>
        <v>8147112.9458394749</v>
      </c>
      <c r="N152" s="30">
        <f t="shared" si="29"/>
        <v>7442638.4806633033</v>
      </c>
      <c r="O152" s="30">
        <f t="shared" si="30"/>
        <v>8147112.9458394749</v>
      </c>
      <c r="P152" s="48"/>
      <c r="Q152">
        <f t="shared" si="32"/>
        <v>0.5</v>
      </c>
      <c r="R152" s="28"/>
      <c r="S152" s="39"/>
    </row>
    <row r="153" spans="1:19" x14ac:dyDescent="0.2">
      <c r="A153" s="2">
        <v>45108</v>
      </c>
      <c r="B153">
        <f t="shared" si="24"/>
        <v>2023</v>
      </c>
      <c r="C153">
        <f t="shared" si="25"/>
        <v>7</v>
      </c>
      <c r="E153" s="58">
        <f t="shared" si="37"/>
        <v>704474.46517617174</v>
      </c>
      <c r="G153" s="84">
        <f t="shared" si="35"/>
        <v>0</v>
      </c>
      <c r="H153" s="84">
        <f t="shared" si="35"/>
        <v>269.41000000000003</v>
      </c>
      <c r="I153" s="30">
        <f t="shared" si="36"/>
        <v>0</v>
      </c>
      <c r="J153" s="93">
        <f>'Rate Class Customer Model'!E78</f>
        <v>3002.2144119337172</v>
      </c>
      <c r="K153" s="30">
        <f t="shared" si="27"/>
        <v>151</v>
      </c>
      <c r="L153" s="99">
        <f t="shared" si="31"/>
        <v>0.25</v>
      </c>
      <c r="M153" s="30">
        <f t="shared" si="28"/>
        <v>8635868.0366723388</v>
      </c>
      <c r="N153" s="30">
        <f t="shared" si="29"/>
        <v>7931393.5714961672</v>
      </c>
      <c r="O153" s="30">
        <f t="shared" si="30"/>
        <v>8635868.0366723388</v>
      </c>
      <c r="P153" s="48"/>
      <c r="Q153">
        <f t="shared" si="32"/>
        <v>0.5</v>
      </c>
      <c r="R153" s="28"/>
      <c r="S153" s="39"/>
    </row>
    <row r="154" spans="1:19" x14ac:dyDescent="0.2">
      <c r="A154" s="2">
        <v>45139</v>
      </c>
      <c r="B154">
        <f t="shared" si="24"/>
        <v>2023</v>
      </c>
      <c r="C154">
        <f t="shared" si="25"/>
        <v>8</v>
      </c>
      <c r="E154" s="58">
        <f t="shared" si="37"/>
        <v>704474.46517617174</v>
      </c>
      <c r="G154" s="84">
        <f t="shared" si="35"/>
        <v>0</v>
      </c>
      <c r="H154" s="84">
        <f t="shared" si="35"/>
        <v>242.46000000000004</v>
      </c>
      <c r="I154" s="30">
        <f t="shared" si="36"/>
        <v>0</v>
      </c>
      <c r="J154" s="93">
        <f>'Rate Class Customer Model'!E79</f>
        <v>3006.7134699083745</v>
      </c>
      <c r="K154" s="30">
        <f t="shared" si="27"/>
        <v>152</v>
      </c>
      <c r="L154" s="99">
        <f t="shared" si="31"/>
        <v>0.25</v>
      </c>
      <c r="M154" s="30">
        <f t="shared" si="28"/>
        <v>8512324.296115486</v>
      </c>
      <c r="N154" s="30">
        <f t="shared" si="29"/>
        <v>7807849.8309393143</v>
      </c>
      <c r="O154" s="30">
        <f t="shared" si="30"/>
        <v>8512324.296115486</v>
      </c>
      <c r="P154" s="48"/>
      <c r="Q154">
        <f t="shared" si="32"/>
        <v>0.5</v>
      </c>
      <c r="R154" s="28"/>
      <c r="S154" s="39"/>
    </row>
    <row r="155" spans="1:19" x14ac:dyDescent="0.2">
      <c r="A155" s="2">
        <v>45170</v>
      </c>
      <c r="B155">
        <f t="shared" si="24"/>
        <v>2023</v>
      </c>
      <c r="C155">
        <f t="shared" si="25"/>
        <v>9</v>
      </c>
      <c r="E155" s="58">
        <f t="shared" si="37"/>
        <v>704474.46517617174</v>
      </c>
      <c r="G155" s="84">
        <f t="shared" si="35"/>
        <v>10.66</v>
      </c>
      <c r="H155" s="84">
        <f t="shared" si="35"/>
        <v>124.26999999999998</v>
      </c>
      <c r="I155" s="30">
        <f t="shared" si="36"/>
        <v>1</v>
      </c>
      <c r="J155" s="93">
        <f>'Rate Class Customer Model'!E80</f>
        <v>3011.219270080584</v>
      </c>
      <c r="K155" s="30">
        <f t="shared" si="27"/>
        <v>153</v>
      </c>
      <c r="L155" s="99">
        <f t="shared" si="31"/>
        <v>0.25</v>
      </c>
      <c r="M155" s="30">
        <f t="shared" si="28"/>
        <v>7685480.828449823</v>
      </c>
      <c r="N155" s="30">
        <f t="shared" si="29"/>
        <v>6981006.3632736513</v>
      </c>
      <c r="O155" s="30">
        <f t="shared" si="30"/>
        <v>7685480.828449823</v>
      </c>
      <c r="P155" s="48"/>
      <c r="Q155">
        <f t="shared" si="32"/>
        <v>0.5</v>
      </c>
      <c r="R155" s="28"/>
      <c r="S155" s="39"/>
    </row>
    <row r="156" spans="1:19" x14ac:dyDescent="0.2">
      <c r="A156" s="2">
        <v>45200</v>
      </c>
      <c r="B156">
        <f t="shared" si="24"/>
        <v>2023</v>
      </c>
      <c r="C156">
        <f t="shared" si="25"/>
        <v>10</v>
      </c>
      <c r="E156" s="58">
        <f t="shared" si="37"/>
        <v>704474.46517617174</v>
      </c>
      <c r="G156" s="84">
        <f t="shared" si="35"/>
        <v>118.80999999999999</v>
      </c>
      <c r="H156" s="84">
        <f t="shared" si="35"/>
        <v>23.209999999999997</v>
      </c>
      <c r="I156" s="30">
        <f t="shared" si="36"/>
        <v>1</v>
      </c>
      <c r="J156" s="93">
        <f>'Rate Class Customer Model'!E81</f>
        <v>3015.7318225540671</v>
      </c>
      <c r="K156" s="30">
        <f t="shared" si="27"/>
        <v>154</v>
      </c>
      <c r="L156" s="99">
        <f t="shared" si="31"/>
        <v>0.25</v>
      </c>
      <c r="M156" s="30">
        <f t="shared" si="28"/>
        <v>7566108.6209948547</v>
      </c>
      <c r="N156" s="30">
        <f t="shared" si="29"/>
        <v>6861634.1558186831</v>
      </c>
      <c r="O156" s="30">
        <f t="shared" si="30"/>
        <v>7566108.6209948547</v>
      </c>
      <c r="P156" s="48"/>
      <c r="Q156">
        <f t="shared" si="32"/>
        <v>0.5</v>
      </c>
      <c r="R156" s="28"/>
      <c r="S156" s="39"/>
    </row>
    <row r="157" spans="1:19" x14ac:dyDescent="0.2">
      <c r="A157" s="2">
        <v>45231</v>
      </c>
      <c r="B157">
        <f t="shared" si="24"/>
        <v>2023</v>
      </c>
      <c r="C157">
        <f t="shared" si="25"/>
        <v>11</v>
      </c>
      <c r="E157" s="58">
        <f t="shared" si="37"/>
        <v>704474.46517617174</v>
      </c>
      <c r="G157" s="84">
        <f t="shared" si="35"/>
        <v>307.13</v>
      </c>
      <c r="H157" s="84">
        <f t="shared" si="35"/>
        <v>0.89</v>
      </c>
      <c r="I157" s="30">
        <f t="shared" si="36"/>
        <v>1</v>
      </c>
      <c r="J157" s="93">
        <f>'Rate Class Customer Model'!E82</f>
        <v>3020.2511374476858</v>
      </c>
      <c r="K157" s="30">
        <f t="shared" si="27"/>
        <v>155</v>
      </c>
      <c r="L157" s="99">
        <f t="shared" si="31"/>
        <v>0.25</v>
      </c>
      <c r="M157" s="30">
        <f t="shared" si="28"/>
        <v>8113472.5769266132</v>
      </c>
      <c r="N157" s="30">
        <f t="shared" si="29"/>
        <v>7408998.1117504416</v>
      </c>
      <c r="O157" s="30">
        <f t="shared" si="30"/>
        <v>8113472.5769266132</v>
      </c>
      <c r="P157" s="48"/>
      <c r="Q157">
        <f t="shared" si="32"/>
        <v>0.5</v>
      </c>
      <c r="R157" s="28"/>
    </row>
    <row r="158" spans="1:19" x14ac:dyDescent="0.2">
      <c r="A158" s="2">
        <v>45261</v>
      </c>
      <c r="B158">
        <f t="shared" si="24"/>
        <v>2023</v>
      </c>
      <c r="C158">
        <f t="shared" si="25"/>
        <v>12</v>
      </c>
      <c r="E158" s="58">
        <f t="shared" si="37"/>
        <v>704474.46517617174</v>
      </c>
      <c r="G158" s="84">
        <f t="shared" si="35"/>
        <v>451.35999999999996</v>
      </c>
      <c r="H158" s="84">
        <f t="shared" si="35"/>
        <v>0</v>
      </c>
      <c r="I158" s="30">
        <f t="shared" si="36"/>
        <v>0</v>
      </c>
      <c r="J158" s="93">
        <f>'Rate Class Customer Model'!E83</f>
        <v>3024.777224895467</v>
      </c>
      <c r="K158" s="30">
        <f t="shared" si="27"/>
        <v>156</v>
      </c>
      <c r="L158" s="99">
        <f t="shared" si="31"/>
        <v>0.25</v>
      </c>
      <c r="M158" s="30">
        <f t="shared" si="28"/>
        <v>8902622.8345203679</v>
      </c>
      <c r="N158" s="30">
        <f t="shared" si="29"/>
        <v>8198148.3693441963</v>
      </c>
      <c r="O158" s="30">
        <f t="shared" si="30"/>
        <v>8902622.8345203679</v>
      </c>
      <c r="P158" s="48"/>
      <c r="Q158">
        <f t="shared" si="32"/>
        <v>0.5</v>
      </c>
      <c r="R158" s="28"/>
    </row>
    <row r="159" spans="1:19" x14ac:dyDescent="0.2">
      <c r="A159" s="2"/>
      <c r="B159" s="2"/>
      <c r="C159" s="2"/>
      <c r="D159" s="2"/>
      <c r="E159" s="2"/>
      <c r="G159" s="50"/>
      <c r="H159" s="50"/>
      <c r="I159" s="30"/>
      <c r="J159" s="56"/>
      <c r="K159" s="30"/>
      <c r="L159" s="30"/>
      <c r="M159" s="30"/>
      <c r="N159" s="30"/>
      <c r="O159" s="30"/>
      <c r="P159" s="77">
        <f>AVERAGE(P3:P134)</f>
        <v>4.3290340945593683E-2</v>
      </c>
    </row>
    <row r="160" spans="1:19" x14ac:dyDescent="0.2">
      <c r="A160" s="2"/>
      <c r="B160" s="2"/>
      <c r="C160" s="2"/>
      <c r="D160" s="2"/>
      <c r="E160" s="2"/>
      <c r="G160" s="50"/>
      <c r="H160" s="50"/>
      <c r="I160" s="30"/>
      <c r="J160" s="56"/>
      <c r="K160" s="30"/>
      <c r="L160" s="30"/>
      <c r="M160" s="30"/>
      <c r="N160" s="30"/>
      <c r="O160" s="30"/>
      <c r="P160" s="48"/>
    </row>
    <row r="161" spans="1:31" x14ac:dyDescent="0.2">
      <c r="A161" s="2"/>
      <c r="B161" s="2"/>
      <c r="C161" s="2"/>
      <c r="D161" s="2"/>
      <c r="E161" s="2"/>
      <c r="G161" s="50"/>
      <c r="H161" s="50"/>
      <c r="I161" s="30"/>
      <c r="J161" s="56"/>
      <c r="K161" s="30"/>
      <c r="L161" s="30"/>
      <c r="M161" s="30"/>
      <c r="N161" s="30"/>
      <c r="O161" s="30"/>
      <c r="P161" s="48"/>
    </row>
    <row r="162" spans="1:31" x14ac:dyDescent="0.2">
      <c r="A162" s="2"/>
      <c r="B162" s="2"/>
      <c r="C162" s="2"/>
      <c r="D162" s="2"/>
      <c r="E162" s="2"/>
      <c r="G162" s="50"/>
      <c r="H162" s="50"/>
      <c r="I162" s="30"/>
      <c r="J162" s="56"/>
      <c r="K162" s="30"/>
      <c r="L162" s="30"/>
      <c r="M162" s="30"/>
      <c r="N162" s="30"/>
      <c r="O162" s="30"/>
      <c r="P162" s="48"/>
    </row>
    <row r="163" spans="1:31" x14ac:dyDescent="0.2">
      <c r="A163" s="2"/>
      <c r="B163" s="2"/>
      <c r="C163" s="2"/>
      <c r="D163" s="2"/>
      <c r="E163" s="2"/>
      <c r="G163" s="50"/>
      <c r="H163" s="50"/>
      <c r="I163" s="30"/>
      <c r="K163" s="27"/>
      <c r="M163" s="25">
        <f>SUM(M3:M158)</f>
        <v>1180350582.1135502</v>
      </c>
      <c r="N163" s="25"/>
    </row>
    <row r="164" spans="1:31" x14ac:dyDescent="0.2">
      <c r="A164" s="2"/>
      <c r="B164" s="2"/>
      <c r="C164" s="2"/>
      <c r="D164" s="2"/>
      <c r="E164" s="2"/>
    </row>
    <row r="165" spans="1:31" x14ac:dyDescent="0.2">
      <c r="A165" s="2"/>
      <c r="B165" s="2"/>
      <c r="C165" s="2"/>
      <c r="D165" s="85" t="s">
        <v>82</v>
      </c>
      <c r="E165" s="85" t="s">
        <v>72</v>
      </c>
      <c r="F165" s="37" t="s">
        <v>73</v>
      </c>
      <c r="J165" s="1"/>
      <c r="L165" s="55"/>
      <c r="N165" s="76" t="s">
        <v>83</v>
      </c>
      <c r="O165" s="76" t="s">
        <v>72</v>
      </c>
      <c r="P165" s="76" t="s">
        <v>84</v>
      </c>
    </row>
    <row r="166" spans="1:31" x14ac:dyDescent="0.2">
      <c r="A166" s="10">
        <v>2011</v>
      </c>
      <c r="B166" s="10"/>
      <c r="C166" s="10"/>
      <c r="D166" s="39">
        <f>SUMIF(B:B,A166,D:D)</f>
        <v>83338833.540000021</v>
      </c>
      <c r="E166" s="39">
        <f>SUMIF(B:B,A166,E:E)</f>
        <v>113611.44815883051</v>
      </c>
      <c r="F166" s="5">
        <f>SUMIF(B:B,A166,F:F)</f>
        <v>83452444.988158852</v>
      </c>
      <c r="J166" s="1"/>
      <c r="L166" s="55"/>
      <c r="N166" s="5">
        <f t="shared" ref="N166:N178" si="38">SUMIF(B:B,A166,M:M)</f>
        <v>83479025.998381361</v>
      </c>
      <c r="O166" s="55">
        <v>113611.44815883054</v>
      </c>
      <c r="P166" s="55">
        <f t="shared" ref="P166:P178" si="39">SUMIF(B:B,A166,N:N)</f>
        <v>83365414.550222531</v>
      </c>
    </row>
    <row r="167" spans="1:31" x14ac:dyDescent="0.2">
      <c r="A167" s="10">
        <f>A166+1</f>
        <v>2012</v>
      </c>
      <c r="B167" s="10"/>
      <c r="C167" s="10"/>
      <c r="D167" s="39">
        <f t="shared" ref="D167:D175" si="40">SUMIF(B:B,A167,D:D)</f>
        <v>84168273.069999993</v>
      </c>
      <c r="E167" s="39">
        <f t="shared" ref="E167:E176" si="41">SUMIF(B:B,A167,E:E)</f>
        <v>385670.09388452605</v>
      </c>
      <c r="F167" s="5">
        <f t="shared" ref="F167:F176" si="42">SUMIF(B:B,A167,F:F)</f>
        <v>84553943.163884521</v>
      </c>
      <c r="J167" s="1"/>
      <c r="L167" s="55"/>
      <c r="N167" s="5">
        <f t="shared" si="38"/>
        <v>84743365.2113996</v>
      </c>
      <c r="O167" s="55">
        <v>385670.09388452594</v>
      </c>
      <c r="P167" s="55">
        <f t="shared" si="39"/>
        <v>84357695.117515072</v>
      </c>
    </row>
    <row r="168" spans="1:31" x14ac:dyDescent="0.2">
      <c r="A168" s="10">
        <f t="shared" ref="A168:A178" si="43">A167+1</f>
        <v>2013</v>
      </c>
      <c r="B168" s="10"/>
      <c r="C168" s="10"/>
      <c r="D168" s="39">
        <f t="shared" si="40"/>
        <v>87021883.129999995</v>
      </c>
      <c r="E168" s="39">
        <f t="shared" si="41"/>
        <v>773377.78722497867</v>
      </c>
      <c r="F168" s="5">
        <f t="shared" si="42"/>
        <v>87795260.917224973</v>
      </c>
      <c r="J168" s="1"/>
      <c r="L168" s="55"/>
      <c r="N168" s="5">
        <f t="shared" si="38"/>
        <v>87408953.440897986</v>
      </c>
      <c r="O168" s="55">
        <v>773377.78722497891</v>
      </c>
      <c r="P168" s="55">
        <f t="shared" si="39"/>
        <v>86635575.653673008</v>
      </c>
    </row>
    <row r="169" spans="1:31" x14ac:dyDescent="0.2">
      <c r="A169" s="10">
        <f t="shared" si="43"/>
        <v>2014</v>
      </c>
      <c r="D169" s="39">
        <f t="shared" si="40"/>
        <v>88384426.730000004</v>
      </c>
      <c r="E169" s="39">
        <f t="shared" si="41"/>
        <v>1266618.7406463188</v>
      </c>
      <c r="F169" s="5">
        <f t="shared" si="42"/>
        <v>89651045.470646307</v>
      </c>
      <c r="J169" s="1"/>
      <c r="L169" s="55"/>
      <c r="N169" s="5">
        <f t="shared" si="38"/>
        <v>89493958.096462086</v>
      </c>
      <c r="O169" s="55">
        <v>1266618.7406463188</v>
      </c>
      <c r="P169" s="55">
        <f t="shared" si="39"/>
        <v>88227339.355815753</v>
      </c>
    </row>
    <row r="170" spans="1:31" x14ac:dyDescent="0.2">
      <c r="A170" s="10">
        <f t="shared" si="43"/>
        <v>2015</v>
      </c>
      <c r="B170" s="10"/>
      <c r="C170" s="10"/>
      <c r="D170" s="39">
        <f t="shared" si="40"/>
        <v>88333188.626506001</v>
      </c>
      <c r="E170" s="39">
        <f t="shared" si="41"/>
        <v>2339249.6059254631</v>
      </c>
      <c r="F170" s="5">
        <f t="shared" si="42"/>
        <v>90672438.232431471</v>
      </c>
      <c r="J170" s="1"/>
      <c r="L170" s="55"/>
      <c r="N170" s="5">
        <f t="shared" si="38"/>
        <v>89769168.39509809</v>
      </c>
      <c r="O170" s="55">
        <v>2339249.6059254631</v>
      </c>
      <c r="P170" s="55">
        <f t="shared" si="39"/>
        <v>87429918.789172634</v>
      </c>
      <c r="AC170" s="37"/>
      <c r="AD170" s="37"/>
      <c r="AE170" s="37"/>
    </row>
    <row r="171" spans="1:31" x14ac:dyDescent="0.2">
      <c r="A171" s="10">
        <f t="shared" si="43"/>
        <v>2016</v>
      </c>
      <c r="D171" s="39">
        <f t="shared" si="40"/>
        <v>88749928.414457858</v>
      </c>
      <c r="E171" s="39">
        <f t="shared" si="41"/>
        <v>3982403.6897298838</v>
      </c>
      <c r="F171" s="5">
        <f t="shared" si="42"/>
        <v>92732332.104187712</v>
      </c>
      <c r="J171" s="1"/>
      <c r="L171" s="55"/>
      <c r="N171" s="5">
        <f t="shared" si="38"/>
        <v>91321799.626589447</v>
      </c>
      <c r="O171" s="55">
        <v>3982403.6897298833</v>
      </c>
      <c r="P171" s="55">
        <f t="shared" si="39"/>
        <v>87339395.936859578</v>
      </c>
    </row>
    <row r="172" spans="1:31" x14ac:dyDescent="0.2">
      <c r="A172" s="10">
        <f t="shared" si="43"/>
        <v>2017</v>
      </c>
      <c r="B172" s="10"/>
      <c r="C172" s="10"/>
      <c r="D172" s="39">
        <f t="shared" si="40"/>
        <v>82899471.903614432</v>
      </c>
      <c r="E172" s="39">
        <f t="shared" si="41"/>
        <v>5103921.7460673954</v>
      </c>
      <c r="F172" s="5">
        <f t="shared" si="42"/>
        <v>88003393.649681836</v>
      </c>
      <c r="J172" s="1"/>
      <c r="L172" s="55"/>
      <c r="N172" s="5">
        <f t="shared" si="38"/>
        <v>90915241.318644047</v>
      </c>
      <c r="O172" s="55">
        <v>5103921.7460673954</v>
      </c>
      <c r="P172" s="55">
        <f t="shared" si="39"/>
        <v>85811319.572576672</v>
      </c>
    </row>
    <row r="173" spans="1:31" x14ac:dyDescent="0.2">
      <c r="A173" s="10">
        <f t="shared" si="43"/>
        <v>2018</v>
      </c>
      <c r="D173" s="39">
        <f t="shared" si="40"/>
        <v>86093744.838554204</v>
      </c>
      <c r="E173" s="39">
        <f t="shared" si="41"/>
        <v>6203925.366380427</v>
      </c>
      <c r="F173" s="5">
        <f t="shared" si="42"/>
        <v>92297670.204934612</v>
      </c>
      <c r="J173" s="1"/>
      <c r="L173" s="55"/>
      <c r="N173" s="5">
        <f t="shared" si="38"/>
        <v>93391887.608597234</v>
      </c>
      <c r="O173" s="55">
        <v>6203925.3663804261</v>
      </c>
      <c r="P173" s="55">
        <f t="shared" si="39"/>
        <v>87187962.242216825</v>
      </c>
    </row>
    <row r="174" spans="1:31" x14ac:dyDescent="0.2">
      <c r="A174" s="10">
        <f t="shared" si="43"/>
        <v>2019</v>
      </c>
      <c r="B174" s="10"/>
      <c r="C174" s="10"/>
      <c r="D174" s="39">
        <f t="shared" si="40"/>
        <v>83808650.746987954</v>
      </c>
      <c r="E174" s="39">
        <f t="shared" si="41"/>
        <v>7283282.6936984016</v>
      </c>
      <c r="F174" s="5">
        <f t="shared" si="42"/>
        <v>91091933.440686345</v>
      </c>
      <c r="J174" s="1"/>
      <c r="L174" s="55"/>
      <c r="N174" s="5">
        <f t="shared" si="38"/>
        <v>91067570.061085343</v>
      </c>
      <c r="O174" s="55">
        <v>7283282.6936984016</v>
      </c>
      <c r="P174" s="55">
        <f t="shared" si="39"/>
        <v>83784287.367386937</v>
      </c>
    </row>
    <row r="175" spans="1:31" x14ac:dyDescent="0.2">
      <c r="A175" s="10">
        <f t="shared" si="43"/>
        <v>2020</v>
      </c>
      <c r="D175" s="39">
        <f t="shared" si="40"/>
        <v>79694764.992771059</v>
      </c>
      <c r="E175" s="39">
        <f t="shared" si="41"/>
        <v>7797753.6168311285</v>
      </c>
      <c r="F175" s="5">
        <f t="shared" si="42"/>
        <v>87492518.609602198</v>
      </c>
      <c r="J175" s="1"/>
      <c r="L175" s="55"/>
      <c r="N175" s="5">
        <f t="shared" si="38"/>
        <v>86607517.06518814</v>
      </c>
      <c r="O175" s="55">
        <v>7797753.6168311285</v>
      </c>
      <c r="P175" s="55">
        <f t="shared" si="39"/>
        <v>78809763.448357001</v>
      </c>
      <c r="Q175" s="5"/>
    </row>
    <row r="176" spans="1:31" x14ac:dyDescent="0.2">
      <c r="A176" s="10">
        <f t="shared" si="43"/>
        <v>2021</v>
      </c>
      <c r="B176" s="10"/>
      <c r="C176" s="10"/>
      <c r="D176" s="39">
        <f>SUMIF(B:B,A176,D:D)</f>
        <v>85479169.763855413</v>
      </c>
      <c r="E176" s="39">
        <f t="shared" si="41"/>
        <v>8827514.388289284</v>
      </c>
      <c r="F176" s="5">
        <f t="shared" si="42"/>
        <v>94306684.15214467</v>
      </c>
      <c r="J176" s="1"/>
      <c r="L176" s="55"/>
      <c r="N176" s="5">
        <f t="shared" si="38"/>
        <v>93945922.399223953</v>
      </c>
      <c r="O176" s="55">
        <v>8827514.3882892821</v>
      </c>
      <c r="P176" s="55">
        <f t="shared" si="39"/>
        <v>85118408.010934681</v>
      </c>
      <c r="Q176" s="5"/>
    </row>
    <row r="177" spans="1:31" x14ac:dyDescent="0.2">
      <c r="A177" s="10">
        <f t="shared" si="43"/>
        <v>2022</v>
      </c>
      <c r="B177" s="10"/>
      <c r="C177" s="10"/>
      <c r="D177" s="39"/>
      <c r="E177" s="39"/>
      <c r="J177" s="1"/>
      <c r="L177" s="55"/>
      <c r="N177" s="5">
        <f t="shared" si="38"/>
        <v>97873543.891093612</v>
      </c>
      <c r="O177" s="55">
        <v>8635789.100729743</v>
      </c>
      <c r="P177" s="55">
        <f t="shared" si="39"/>
        <v>89237754.790363863</v>
      </c>
    </row>
    <row r="178" spans="1:31" x14ac:dyDescent="0.2">
      <c r="A178" s="10">
        <f t="shared" si="43"/>
        <v>2023</v>
      </c>
      <c r="D178" s="39"/>
      <c r="E178" s="39"/>
      <c r="I178" s="41"/>
      <c r="J178" s="41"/>
      <c r="L178" s="52"/>
      <c r="M178" s="41"/>
      <c r="N178" s="5">
        <f t="shared" si="38"/>
        <v>100332629.00089012</v>
      </c>
      <c r="O178" s="55">
        <v>8453693.5821140613</v>
      </c>
      <c r="P178" s="55">
        <f t="shared" si="39"/>
        <v>91878935.418776065</v>
      </c>
      <c r="Q178" s="75"/>
    </row>
    <row r="179" spans="1:31" x14ac:dyDescent="0.2">
      <c r="A179" s="27"/>
      <c r="B179" s="27"/>
      <c r="C179" s="27"/>
      <c r="D179" s="27"/>
      <c r="E179" s="27"/>
      <c r="M179" s="5"/>
      <c r="N179" s="5"/>
      <c r="O179" s="5"/>
    </row>
    <row r="182" spans="1:31" x14ac:dyDescent="0.2">
      <c r="Q182" s="39"/>
    </row>
    <row r="183" spans="1:31" x14ac:dyDescent="0.2">
      <c r="Q183" s="39"/>
    </row>
    <row r="184" spans="1:31" x14ac:dyDescent="0.2">
      <c r="AC184" s="37"/>
      <c r="AD184" s="37"/>
      <c r="AE184" s="37"/>
    </row>
    <row r="195" spans="29:31" x14ac:dyDescent="0.2">
      <c r="AC195" s="37"/>
      <c r="AD195" s="37"/>
      <c r="AE195" s="37"/>
    </row>
  </sheetData>
  <mergeCells count="3">
    <mergeCell ref="R144:R146"/>
    <mergeCell ref="S144:S146"/>
    <mergeCell ref="A1:C1"/>
  </mergeCells>
  <pageMargins left="0.39370078740157483" right="0.74803149606299213" top="0.74803149606299213" bottom="0.74803149606299213" header="0.51181102362204722" footer="0.51181102362204722"/>
  <pageSetup orientation="portrait" r:id="rId1"/>
  <headerFooter alignWithMargins="0"/>
  <rowBreaks count="1" manualBreakCount="1">
    <brk id="110" max="39" man="1"/>
  </rowBreaks>
  <colBreaks count="2" manualBreakCount="2">
    <brk id="16" max="1048575" man="1"/>
    <brk id="26" max="222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00D5A-48D8-4F0C-93FE-9A129EA80B55}">
  <sheetPr>
    <tabColor theme="9" tint="0.79998168889431442"/>
  </sheetPr>
  <dimension ref="A1:AW190"/>
  <sheetViews>
    <sheetView zoomScale="80" zoomScaleNormal="80" workbookViewId="0">
      <pane xSplit="1" ySplit="2" topLeftCell="B3" activePane="bottomRight" state="frozen"/>
      <selection activeCell="V159" sqref="V159"/>
      <selection pane="topRight" activeCell="V159" sqref="V159"/>
      <selection pane="bottomLeft" activeCell="V159" sqref="V159"/>
      <selection pane="bottomRight" activeCell="N22" sqref="N22"/>
    </sheetView>
  </sheetViews>
  <sheetFormatPr defaultRowHeight="12.75" x14ac:dyDescent="0.2"/>
  <cols>
    <col min="1" max="3" width="11.85546875" customWidth="1"/>
    <col min="4" max="4" width="14.140625" customWidth="1"/>
    <col min="5" max="5" width="13.28515625" customWidth="1"/>
    <col min="6" max="6" width="12.7109375" style="5" bestFit="1" customWidth="1"/>
    <col min="7" max="7" width="12.140625" style="1" customWidth="1"/>
    <col min="8" max="10" width="11.5703125" style="1" customWidth="1"/>
    <col min="11" max="11" width="9.42578125" style="1" bestFit="1" customWidth="1"/>
    <col min="12" max="12" width="10.85546875" style="1" bestFit="1" customWidth="1"/>
    <col min="13" max="13" width="10.85546875" style="1" customWidth="1"/>
    <col min="14" max="14" width="10.7109375" style="1" bestFit="1" customWidth="1"/>
    <col min="15" max="15" width="15.140625" style="1" bestFit="1" customWidth="1"/>
    <col min="16" max="16" width="15.140625" style="1" customWidth="1"/>
    <col min="17" max="17" width="13.28515625" style="1" customWidth="1"/>
    <col min="18" max="18" width="13.7109375" style="1" customWidth="1"/>
    <col min="19" max="19" width="22.42578125" bestFit="1" customWidth="1"/>
    <col min="20" max="20" width="14.85546875" bestFit="1" customWidth="1"/>
    <col min="21" max="21" width="13.7109375" bestFit="1" customWidth="1"/>
    <col min="22" max="22" width="12.5703125" bestFit="1" customWidth="1"/>
    <col min="23" max="23" width="12.42578125" bestFit="1" customWidth="1"/>
    <col min="24" max="24" width="13.5703125" bestFit="1" customWidth="1"/>
    <col min="25" max="27" width="12.5703125" bestFit="1" customWidth="1"/>
    <col min="28" max="28" width="14.140625" bestFit="1" customWidth="1"/>
    <col min="29" max="31" width="12.7109375" customWidth="1"/>
    <col min="32" max="40" width="12.7109375" style="5" customWidth="1"/>
    <col min="41" max="50" width="12.7109375" customWidth="1"/>
  </cols>
  <sheetData>
    <row r="1" spans="1:44" ht="15.75" x14ac:dyDescent="0.25">
      <c r="A1" s="134" t="s">
        <v>132</v>
      </c>
      <c r="B1" s="134"/>
      <c r="C1" s="134"/>
      <c r="D1" s="134"/>
      <c r="E1" s="134"/>
      <c r="F1" s="134"/>
      <c r="G1" s="134"/>
    </row>
    <row r="2" spans="1:44" ht="42" customHeight="1" x14ac:dyDescent="0.2">
      <c r="D2" s="54" t="s">
        <v>3</v>
      </c>
      <c r="E2" s="54" t="s">
        <v>4</v>
      </c>
      <c r="F2" s="54" t="s">
        <v>5</v>
      </c>
      <c r="G2" s="125" t="s">
        <v>18</v>
      </c>
      <c r="H2" s="125" t="s">
        <v>17</v>
      </c>
      <c r="I2" s="7" t="str">
        <f>G2&amp;"Norm"</f>
        <v>HDD10Norm</v>
      </c>
      <c r="J2" s="7" t="str">
        <f>H2&amp;"Norm"</f>
        <v>CDD12Norm</v>
      </c>
      <c r="K2" s="7" t="s">
        <v>74</v>
      </c>
      <c r="L2" s="7" t="s">
        <v>75</v>
      </c>
      <c r="M2" s="7" t="s">
        <v>126</v>
      </c>
      <c r="N2" s="7" t="s">
        <v>11</v>
      </c>
      <c r="O2" s="7" t="s">
        <v>76</v>
      </c>
      <c r="P2" s="7" t="s">
        <v>77</v>
      </c>
      <c r="Q2" s="7" t="s">
        <v>78</v>
      </c>
      <c r="R2" s="7" t="s">
        <v>79</v>
      </c>
      <c r="AF2" s="6"/>
      <c r="AG2" s="6"/>
      <c r="AH2" s="6"/>
    </row>
    <row r="3" spans="1:44" x14ac:dyDescent="0.2">
      <c r="A3" s="2">
        <v>40544</v>
      </c>
      <c r="B3">
        <f>YEAR(A3)</f>
        <v>2011</v>
      </c>
      <c r="C3">
        <f>MONTH(A3)</f>
        <v>1</v>
      </c>
      <c r="D3" s="54">
        <v>16624484.049999999</v>
      </c>
      <c r="E3" s="54">
        <v>92782.771217919406</v>
      </c>
      <c r="F3" s="54">
        <v>16717266.821217919</v>
      </c>
      <c r="G3" s="126">
        <v>527.30000000000007</v>
      </c>
      <c r="H3" s="126">
        <v>0</v>
      </c>
      <c r="I3" s="124">
        <v>439.5</v>
      </c>
      <c r="J3" s="124">
        <v>0</v>
      </c>
      <c r="K3" s="30">
        <v>31</v>
      </c>
      <c r="L3" s="30">
        <v>257</v>
      </c>
      <c r="M3" s="30">
        <v>2928.6</v>
      </c>
      <c r="N3" s="30">
        <v>0</v>
      </c>
      <c r="O3" s="30">
        <f t="shared" ref="O3:O34" si="0">F3+(I3-G3)*$T$10+(J3-H3)*$T$11</f>
        <v>16260849.843245745</v>
      </c>
      <c r="P3" s="30">
        <f>O3-E3</f>
        <v>16168067.072027825</v>
      </c>
      <c r="Q3" s="49">
        <f>+O3-F3</f>
        <v>-456416.97797217406</v>
      </c>
      <c r="R3" s="48">
        <f>ABS(Q3/F3)</f>
        <v>2.7302129161022884E-2</v>
      </c>
      <c r="AD3" s="37"/>
      <c r="AE3" s="37"/>
      <c r="AF3" s="62"/>
      <c r="AG3" s="49"/>
      <c r="AH3" s="70"/>
      <c r="AI3" s="70"/>
      <c r="AJ3" s="103"/>
      <c r="AK3" s="70"/>
      <c r="AL3" s="70"/>
      <c r="AM3" s="98"/>
      <c r="AN3" s="103"/>
      <c r="AO3" s="64"/>
    </row>
    <row r="4" spans="1:44" x14ac:dyDescent="0.2">
      <c r="A4" s="2">
        <v>40575</v>
      </c>
      <c r="B4">
        <f t="shared" ref="B4:B67" si="1">YEAR(A4)</f>
        <v>2011</v>
      </c>
      <c r="C4">
        <f t="shared" ref="C4:C67" si="2">MONTH(A4)</f>
        <v>2</v>
      </c>
      <c r="D4" s="54">
        <v>15658887.129999997</v>
      </c>
      <c r="E4" s="54">
        <v>92782.771217919406</v>
      </c>
      <c r="F4" s="54">
        <v>15751669.901217917</v>
      </c>
      <c r="G4" s="126">
        <v>430.20000000000005</v>
      </c>
      <c r="H4" s="126">
        <v>0</v>
      </c>
      <c r="I4" s="124">
        <v>403.5</v>
      </c>
      <c r="J4" s="124">
        <v>0</v>
      </c>
      <c r="K4" s="30">
        <v>28</v>
      </c>
      <c r="L4" s="30">
        <v>255</v>
      </c>
      <c r="M4" s="30">
        <v>2938.9</v>
      </c>
      <c r="N4" s="30">
        <v>0</v>
      </c>
      <c r="O4" s="30">
        <f t="shared" si="0"/>
        <v>15612873.394249158</v>
      </c>
      <c r="P4" s="30">
        <f t="shared" ref="P4:P67" si="3">O4-E4</f>
        <v>15520090.623031238</v>
      </c>
      <c r="Q4" s="49">
        <f t="shared" ref="Q4:Q67" si="4">+O4-F4</f>
        <v>-138796.506968759</v>
      </c>
      <c r="R4" s="48">
        <f t="shared" ref="R4:R67" si="5">ABS(Q4/F4)</f>
        <v>8.8115423849776889E-3</v>
      </c>
      <c r="S4" t="s">
        <v>91</v>
      </c>
      <c r="AD4" s="37"/>
      <c r="AE4" s="37"/>
      <c r="AF4" s="143"/>
      <c r="AG4" s="143"/>
      <c r="AH4" s="70"/>
      <c r="AI4" s="70"/>
      <c r="AJ4" s="98"/>
      <c r="AK4" s="107"/>
      <c r="AL4" s="70"/>
      <c r="AM4" s="98"/>
      <c r="AN4" s="98"/>
      <c r="AO4" s="64"/>
    </row>
    <row r="5" spans="1:44" x14ac:dyDescent="0.2">
      <c r="A5" s="2">
        <v>40603</v>
      </c>
      <c r="B5">
        <f t="shared" si="1"/>
        <v>2011</v>
      </c>
      <c r="C5">
        <f t="shared" si="2"/>
        <v>3</v>
      </c>
      <c r="D5" s="54">
        <v>16577681.930000002</v>
      </c>
      <c r="E5" s="54">
        <v>92782.771217919406</v>
      </c>
      <c r="F5" s="54">
        <v>16670464.701217921</v>
      </c>
      <c r="G5" s="126">
        <v>324.79999999999995</v>
      </c>
      <c r="H5" s="126">
        <v>0</v>
      </c>
      <c r="I5" s="124">
        <v>291.06</v>
      </c>
      <c r="J5" s="124">
        <v>2.8099999999999996</v>
      </c>
      <c r="K5" s="30">
        <v>31</v>
      </c>
      <c r="L5" s="30">
        <v>256</v>
      </c>
      <c r="M5" s="30">
        <v>2930.7</v>
      </c>
      <c r="N5" s="30">
        <v>0</v>
      </c>
      <c r="O5" s="30">
        <f t="shared" si="0"/>
        <v>16513696.636268759</v>
      </c>
      <c r="P5" s="30">
        <f t="shared" si="3"/>
        <v>16420913.865050839</v>
      </c>
      <c r="Q5" s="49">
        <f t="shared" si="4"/>
        <v>-156768.0649491623</v>
      </c>
      <c r="R5" s="48">
        <f t="shared" si="5"/>
        <v>9.4039409074006819E-3</v>
      </c>
      <c r="S5" t="s">
        <v>92</v>
      </c>
      <c r="AD5" s="49"/>
      <c r="AE5" s="49"/>
      <c r="AF5" s="49"/>
      <c r="AG5" s="49"/>
      <c r="AH5" s="70"/>
      <c r="AI5" s="70"/>
      <c r="AJ5" s="98"/>
      <c r="AK5" s="107"/>
      <c r="AL5" s="70"/>
      <c r="AM5" s="98"/>
      <c r="AN5" s="98"/>
      <c r="AO5" s="63"/>
    </row>
    <row r="6" spans="1:44" x14ac:dyDescent="0.2">
      <c r="A6" s="2">
        <v>40634</v>
      </c>
      <c r="B6">
        <f t="shared" si="1"/>
        <v>2011</v>
      </c>
      <c r="C6">
        <f t="shared" si="2"/>
        <v>4</v>
      </c>
      <c r="D6" s="54">
        <v>14870365.83</v>
      </c>
      <c r="E6" s="54">
        <v>92782.771217919406</v>
      </c>
      <c r="F6" s="54">
        <v>14963148.60121792</v>
      </c>
      <c r="G6" s="126">
        <v>106.70000000000002</v>
      </c>
      <c r="H6" s="126">
        <v>6.4</v>
      </c>
      <c r="I6" s="124">
        <v>120.71999999999998</v>
      </c>
      <c r="J6" s="124">
        <v>6.58</v>
      </c>
      <c r="K6" s="30">
        <v>30</v>
      </c>
      <c r="L6" s="30">
        <v>257</v>
      </c>
      <c r="M6" s="30">
        <v>2922.2</v>
      </c>
      <c r="N6" s="30">
        <v>0</v>
      </c>
      <c r="O6" s="30">
        <f t="shared" si="0"/>
        <v>15037222.822149312</v>
      </c>
      <c r="P6" s="30">
        <f t="shared" si="3"/>
        <v>14944440.050931392</v>
      </c>
      <c r="Q6" s="49">
        <f t="shared" si="4"/>
        <v>74074.220931392163</v>
      </c>
      <c r="R6" s="48">
        <f t="shared" si="5"/>
        <v>4.9504434464657339E-3</v>
      </c>
      <c r="S6" t="s">
        <v>93</v>
      </c>
      <c r="AF6" s="70"/>
      <c r="AG6" s="65"/>
      <c r="AH6" s="37"/>
      <c r="AK6" s="108"/>
      <c r="AL6" s="108"/>
      <c r="AO6" s="5"/>
      <c r="AP6" s="5"/>
      <c r="AR6" s="27"/>
    </row>
    <row r="7" spans="1:44" x14ac:dyDescent="0.2">
      <c r="A7" s="2">
        <v>40664</v>
      </c>
      <c r="B7">
        <f t="shared" si="1"/>
        <v>2011</v>
      </c>
      <c r="C7">
        <f t="shared" si="2"/>
        <v>5</v>
      </c>
      <c r="D7" s="54">
        <v>15387555.400000006</v>
      </c>
      <c r="E7" s="54">
        <v>92782.771217919406</v>
      </c>
      <c r="F7" s="54">
        <v>15480338.171217926</v>
      </c>
      <c r="G7" s="126">
        <v>7.1</v>
      </c>
      <c r="H7" s="126">
        <v>86.7</v>
      </c>
      <c r="I7" s="124">
        <v>16.330000000000002</v>
      </c>
      <c r="J7" s="124">
        <v>107.25</v>
      </c>
      <c r="K7" s="30">
        <v>31</v>
      </c>
      <c r="L7" s="30">
        <v>263</v>
      </c>
      <c r="M7" s="30">
        <v>2920.1</v>
      </c>
      <c r="N7" s="30">
        <v>0</v>
      </c>
      <c r="O7" s="30">
        <f t="shared" si="0"/>
        <v>15664526.687477402</v>
      </c>
      <c r="P7" s="30">
        <f t="shared" si="3"/>
        <v>15571743.916259483</v>
      </c>
      <c r="Q7" s="49">
        <f t="shared" si="4"/>
        <v>184188.51625947654</v>
      </c>
      <c r="R7" s="48">
        <f t="shared" si="5"/>
        <v>1.1898223037655087E-2</v>
      </c>
      <c r="AF7" s="70"/>
      <c r="AG7" s="65"/>
      <c r="AH7" s="37"/>
      <c r="AK7" s="108"/>
      <c r="AL7" s="108"/>
      <c r="AO7" s="5"/>
      <c r="AP7" s="5"/>
      <c r="AR7" s="27"/>
    </row>
    <row r="8" spans="1:44" x14ac:dyDescent="0.2">
      <c r="A8" s="2">
        <v>40695</v>
      </c>
      <c r="B8">
        <f t="shared" si="1"/>
        <v>2011</v>
      </c>
      <c r="C8">
        <f t="shared" si="2"/>
        <v>6</v>
      </c>
      <c r="D8" s="54">
        <v>16284746.789999999</v>
      </c>
      <c r="E8" s="54">
        <v>92782.771217919406</v>
      </c>
      <c r="F8" s="54">
        <v>16377529.561217919</v>
      </c>
      <c r="G8" s="126">
        <v>0</v>
      </c>
      <c r="H8" s="126">
        <v>213.20000000000002</v>
      </c>
      <c r="I8" s="124">
        <v>0</v>
      </c>
      <c r="J8" s="124">
        <v>230.10000000000005</v>
      </c>
      <c r="K8" s="30">
        <v>30</v>
      </c>
      <c r="L8" s="30">
        <v>263</v>
      </c>
      <c r="M8" s="30">
        <v>2927.5</v>
      </c>
      <c r="N8" s="30">
        <v>0</v>
      </c>
      <c r="O8" s="30">
        <f t="shared" si="0"/>
        <v>16489544.530570513</v>
      </c>
      <c r="P8" s="30">
        <f t="shared" si="3"/>
        <v>16396761.759352593</v>
      </c>
      <c r="Q8" s="49">
        <f t="shared" si="4"/>
        <v>112014.96935259365</v>
      </c>
      <c r="R8" s="48">
        <f t="shared" si="5"/>
        <v>6.8395522617675942E-3</v>
      </c>
      <c r="S8" s="86"/>
      <c r="T8" s="86" t="s">
        <v>19</v>
      </c>
      <c r="U8" s="86" t="s">
        <v>20</v>
      </c>
      <c r="V8" t="s">
        <v>21</v>
      </c>
      <c r="W8" t="s">
        <v>22</v>
      </c>
      <c r="X8" s="86"/>
      <c r="AF8" s="70"/>
      <c r="AG8" s="65"/>
      <c r="AH8" s="37"/>
      <c r="AK8" s="108"/>
      <c r="AL8" s="108"/>
      <c r="AO8" s="5"/>
      <c r="AP8" s="5"/>
      <c r="AR8" s="27"/>
    </row>
    <row r="9" spans="1:44" x14ac:dyDescent="0.2">
      <c r="A9" s="2">
        <v>40725</v>
      </c>
      <c r="B9">
        <f t="shared" si="1"/>
        <v>2011</v>
      </c>
      <c r="C9">
        <f t="shared" si="2"/>
        <v>7</v>
      </c>
      <c r="D9" s="54">
        <v>16946151.27</v>
      </c>
      <c r="E9" s="54">
        <v>92782.771217919406</v>
      </c>
      <c r="F9" s="54">
        <v>17038934.041217919</v>
      </c>
      <c r="G9" s="126">
        <v>0</v>
      </c>
      <c r="H9" s="126">
        <v>384.2999999999999</v>
      </c>
      <c r="I9" s="124">
        <v>0</v>
      </c>
      <c r="J9" s="124">
        <v>331.41</v>
      </c>
      <c r="K9" s="30">
        <v>31</v>
      </c>
      <c r="L9" s="30">
        <v>265</v>
      </c>
      <c r="M9" s="30">
        <v>2923.6</v>
      </c>
      <c r="N9" s="30">
        <v>0</v>
      </c>
      <c r="O9" s="30">
        <f t="shared" si="0"/>
        <v>16688373.583877172</v>
      </c>
      <c r="P9" s="30">
        <f t="shared" si="3"/>
        <v>16595590.812659252</v>
      </c>
      <c r="Q9" s="49">
        <f t="shared" si="4"/>
        <v>-350560.45734074712</v>
      </c>
      <c r="R9" s="48">
        <f t="shared" si="5"/>
        <v>2.0574083830169551E-2</v>
      </c>
      <c r="S9" t="s">
        <v>23</v>
      </c>
      <c r="T9">
        <v>-14427970.062420901</v>
      </c>
      <c r="U9">
        <v>2078230.73323364</v>
      </c>
      <c r="V9">
        <v>-6.9424293615230601</v>
      </c>
      <c r="W9" s="79">
        <v>1.8619369107404799E-10</v>
      </c>
      <c r="AF9" s="70"/>
      <c r="AG9" s="65"/>
      <c r="AH9" s="37"/>
      <c r="AK9" s="108"/>
      <c r="AL9" s="108"/>
      <c r="AO9" s="5"/>
      <c r="AP9" s="5"/>
      <c r="AR9" s="27"/>
    </row>
    <row r="10" spans="1:44" x14ac:dyDescent="0.2">
      <c r="A10" s="2">
        <v>40756</v>
      </c>
      <c r="B10">
        <f t="shared" si="1"/>
        <v>2011</v>
      </c>
      <c r="C10">
        <f t="shared" si="2"/>
        <v>8</v>
      </c>
      <c r="D10" s="54">
        <v>16700144.319999998</v>
      </c>
      <c r="E10" s="54">
        <v>92782.771217919406</v>
      </c>
      <c r="F10" s="54">
        <v>16792927.091217916</v>
      </c>
      <c r="G10" s="126">
        <v>0</v>
      </c>
      <c r="H10" s="126">
        <v>308.2</v>
      </c>
      <c r="I10" s="124">
        <v>0</v>
      </c>
      <c r="J10" s="124">
        <v>304.46000000000004</v>
      </c>
      <c r="K10" s="30">
        <v>31</v>
      </c>
      <c r="L10" s="30">
        <v>267</v>
      </c>
      <c r="M10" s="30">
        <v>2920.2</v>
      </c>
      <c r="N10" s="30">
        <v>0</v>
      </c>
      <c r="O10" s="30">
        <f t="shared" si="0"/>
        <v>16768137.979657046</v>
      </c>
      <c r="P10" s="30">
        <f t="shared" si="3"/>
        <v>16675355.208439127</v>
      </c>
      <c r="Q10" s="49">
        <f t="shared" si="4"/>
        <v>-24789.111560869962</v>
      </c>
      <c r="R10" s="48">
        <f t="shared" si="5"/>
        <v>1.4761638293441859E-3</v>
      </c>
      <c r="S10" t="s">
        <v>18</v>
      </c>
      <c r="T10">
        <v>5198.3710475190701</v>
      </c>
      <c r="U10">
        <v>434.14298705333601</v>
      </c>
      <c r="V10">
        <v>11.9738685238291</v>
      </c>
      <c r="W10" s="79">
        <v>1.76386451048639E-22</v>
      </c>
      <c r="AF10" s="70"/>
      <c r="AG10" s="65"/>
      <c r="AH10" s="37"/>
      <c r="AK10" s="108"/>
      <c r="AL10" s="108"/>
      <c r="AO10" s="5"/>
      <c r="AP10" s="5"/>
      <c r="AR10" s="27"/>
    </row>
    <row r="11" spans="1:44" x14ac:dyDescent="0.2">
      <c r="A11" s="2">
        <v>40787</v>
      </c>
      <c r="B11">
        <f t="shared" si="1"/>
        <v>2011</v>
      </c>
      <c r="C11">
        <f t="shared" si="2"/>
        <v>9</v>
      </c>
      <c r="D11" s="54">
        <v>15666778.779999997</v>
      </c>
      <c r="E11" s="54">
        <v>92782.771217919406</v>
      </c>
      <c r="F11" s="54">
        <v>15759561.551217917</v>
      </c>
      <c r="G11" s="126">
        <v>0</v>
      </c>
      <c r="H11" s="126">
        <v>172.60000000000002</v>
      </c>
      <c r="I11" s="124">
        <v>0.24999999999999983</v>
      </c>
      <c r="J11" s="124">
        <v>176.51</v>
      </c>
      <c r="K11" s="30">
        <v>30</v>
      </c>
      <c r="L11" s="30">
        <v>268</v>
      </c>
      <c r="M11" s="30">
        <v>2915.3</v>
      </c>
      <c r="N11" s="30">
        <v>0</v>
      </c>
      <c r="O11" s="30">
        <f t="shared" si="0"/>
        <v>15786777.033338888</v>
      </c>
      <c r="P11" s="30">
        <f t="shared" si="3"/>
        <v>15693994.262120968</v>
      </c>
      <c r="Q11" s="49">
        <f t="shared" si="4"/>
        <v>27215.482120970264</v>
      </c>
      <c r="R11" s="48">
        <f t="shared" si="5"/>
        <v>1.7269187364458765E-3</v>
      </c>
      <c r="S11" t="s">
        <v>17</v>
      </c>
      <c r="T11">
        <v>6628.1046954197</v>
      </c>
      <c r="U11">
        <v>599.29134898888196</v>
      </c>
      <c r="V11">
        <v>11.059903845771499</v>
      </c>
      <c r="W11" s="79">
        <v>3.0205064667750797E-20</v>
      </c>
      <c r="AF11" s="70"/>
      <c r="AG11" s="65"/>
      <c r="AH11" s="37"/>
      <c r="AK11" s="108"/>
      <c r="AL11" s="108"/>
      <c r="AO11" s="5"/>
      <c r="AP11" s="5"/>
      <c r="AR11" s="27"/>
    </row>
    <row r="12" spans="1:44" x14ac:dyDescent="0.2">
      <c r="A12" s="2">
        <v>40817</v>
      </c>
      <c r="B12">
        <f t="shared" si="1"/>
        <v>2011</v>
      </c>
      <c r="C12">
        <f t="shared" si="2"/>
        <v>10</v>
      </c>
      <c r="D12" s="54">
        <v>15493508.160000006</v>
      </c>
      <c r="E12" s="54">
        <v>92782.771217919406</v>
      </c>
      <c r="F12" s="54">
        <v>15586290.931217926</v>
      </c>
      <c r="G12" s="126">
        <v>49.800000000000004</v>
      </c>
      <c r="H12" s="126">
        <v>41.5</v>
      </c>
      <c r="I12" s="124">
        <v>44.309999999999995</v>
      </c>
      <c r="J12" s="124">
        <v>43.36</v>
      </c>
      <c r="K12" s="30">
        <v>31</v>
      </c>
      <c r="L12" s="30">
        <v>270</v>
      </c>
      <c r="M12" s="30">
        <v>2906.1</v>
      </c>
      <c r="N12" s="30">
        <v>0</v>
      </c>
      <c r="O12" s="30">
        <f t="shared" si="0"/>
        <v>15570080.148900526</v>
      </c>
      <c r="P12" s="30">
        <f t="shared" si="3"/>
        <v>15477297.377682606</v>
      </c>
      <c r="Q12" s="49">
        <f t="shared" si="4"/>
        <v>-16210.782317399979</v>
      </c>
      <c r="R12" s="48">
        <f t="shared" si="5"/>
        <v>1.0400667091957877E-3</v>
      </c>
      <c r="S12" t="s">
        <v>8</v>
      </c>
      <c r="T12">
        <v>353725.04918807402</v>
      </c>
      <c r="U12">
        <v>50247.526029926601</v>
      </c>
      <c r="V12">
        <v>7.0396510462505297</v>
      </c>
      <c r="W12" s="79">
        <v>1.13145767634352E-10</v>
      </c>
      <c r="AF12" s="70"/>
      <c r="AG12" s="65"/>
      <c r="AH12" s="37"/>
      <c r="AK12" s="108"/>
      <c r="AL12" s="108"/>
      <c r="AO12" s="5"/>
      <c r="AP12" s="5"/>
      <c r="AR12" s="27"/>
    </row>
    <row r="13" spans="1:44" x14ac:dyDescent="0.2">
      <c r="A13" s="2">
        <v>40848</v>
      </c>
      <c r="B13">
        <f t="shared" si="1"/>
        <v>2011</v>
      </c>
      <c r="C13">
        <f t="shared" si="2"/>
        <v>11</v>
      </c>
      <c r="D13" s="54">
        <v>15848617.690000003</v>
      </c>
      <c r="E13" s="54">
        <v>92782.771217919406</v>
      </c>
      <c r="F13" s="54">
        <v>15941400.461217923</v>
      </c>
      <c r="G13" s="126">
        <v>115.8</v>
      </c>
      <c r="H13" s="126">
        <v>3.4000000000000004</v>
      </c>
      <c r="I13" s="124">
        <v>193.95999999999998</v>
      </c>
      <c r="J13" s="124">
        <v>2.7399999999999998</v>
      </c>
      <c r="K13" s="30">
        <v>30</v>
      </c>
      <c r="L13" s="30">
        <v>271</v>
      </c>
      <c r="M13" s="30">
        <v>2901.5</v>
      </c>
      <c r="N13" s="30">
        <v>0</v>
      </c>
      <c r="O13" s="30">
        <f t="shared" si="0"/>
        <v>16343330.593193036</v>
      </c>
      <c r="P13" s="30">
        <f t="shared" si="3"/>
        <v>16250547.821975116</v>
      </c>
      <c r="Q13" s="49">
        <f t="shared" si="4"/>
        <v>401930.13197511248</v>
      </c>
      <c r="R13" s="48">
        <f t="shared" si="5"/>
        <v>2.521297504274634E-2</v>
      </c>
      <c r="S13" t="s">
        <v>7</v>
      </c>
      <c r="T13">
        <v>23627.618854366599</v>
      </c>
      <c r="U13">
        <v>4034.7275532337499</v>
      </c>
      <c r="V13">
        <v>5.8560630284514597</v>
      </c>
      <c r="W13" s="79">
        <v>3.9257575445651397E-8</v>
      </c>
      <c r="AF13" s="70"/>
      <c r="AG13" s="65"/>
      <c r="AH13" s="37"/>
      <c r="AK13" s="108"/>
      <c r="AL13" s="108"/>
      <c r="AO13" s="5"/>
      <c r="AP13" s="5"/>
      <c r="AR13" s="27"/>
    </row>
    <row r="14" spans="1:44" x14ac:dyDescent="0.2">
      <c r="A14" s="2">
        <v>40878</v>
      </c>
      <c r="B14">
        <f t="shared" si="1"/>
        <v>2011</v>
      </c>
      <c r="C14">
        <f t="shared" si="2"/>
        <v>12</v>
      </c>
      <c r="D14" s="54">
        <v>16723848.409999998</v>
      </c>
      <c r="E14" s="54">
        <v>92782.771217919406</v>
      </c>
      <c r="F14" s="54">
        <v>16816631.181217916</v>
      </c>
      <c r="G14" s="126">
        <v>286</v>
      </c>
      <c r="H14" s="126">
        <v>0</v>
      </c>
      <c r="I14" s="124">
        <v>327.48000000000008</v>
      </c>
      <c r="J14" s="124">
        <v>0</v>
      </c>
      <c r="K14" s="30">
        <v>31</v>
      </c>
      <c r="L14" s="30">
        <v>271</v>
      </c>
      <c r="M14" s="30">
        <v>2893.8</v>
      </c>
      <c r="N14" s="30">
        <v>0</v>
      </c>
      <c r="O14" s="30">
        <f t="shared" si="0"/>
        <v>17032259.612269007</v>
      </c>
      <c r="P14" s="30">
        <f t="shared" si="3"/>
        <v>16939476.841051087</v>
      </c>
      <c r="Q14" s="49">
        <f t="shared" si="4"/>
        <v>215628.43105109036</v>
      </c>
      <c r="R14" s="48">
        <f t="shared" si="5"/>
        <v>1.2822332173873236E-2</v>
      </c>
      <c r="S14" t="s">
        <v>14</v>
      </c>
      <c r="T14">
        <v>4218.14905411371</v>
      </c>
      <c r="U14">
        <v>693.51412660321</v>
      </c>
      <c r="V14">
        <v>6.0822828148778303</v>
      </c>
      <c r="W14" s="79">
        <v>1.33531235942946E-8</v>
      </c>
      <c r="AF14" s="70"/>
      <c r="AG14" s="65"/>
      <c r="AH14" s="37"/>
      <c r="AK14" s="108"/>
      <c r="AL14" s="108"/>
      <c r="AO14" s="5"/>
      <c r="AP14" s="5"/>
      <c r="AR14" s="27"/>
    </row>
    <row r="15" spans="1:44" x14ac:dyDescent="0.2">
      <c r="A15" s="2">
        <v>40909</v>
      </c>
      <c r="B15">
        <f t="shared" si="1"/>
        <v>2012</v>
      </c>
      <c r="C15">
        <f t="shared" si="2"/>
        <v>1</v>
      </c>
      <c r="D15" s="54">
        <v>16556508.93</v>
      </c>
      <c r="E15" s="54">
        <v>228757.53349089678</v>
      </c>
      <c r="F15" s="54">
        <v>16785266.463490896</v>
      </c>
      <c r="G15" s="126">
        <v>363.10000000000008</v>
      </c>
      <c r="H15" s="126">
        <v>0</v>
      </c>
      <c r="I15" s="124">
        <f>I3</f>
        <v>439.5</v>
      </c>
      <c r="J15" s="124">
        <f>J3</f>
        <v>0</v>
      </c>
      <c r="K15" s="30">
        <v>31</v>
      </c>
      <c r="L15" s="30">
        <v>271</v>
      </c>
      <c r="M15" s="30">
        <v>2892.7</v>
      </c>
      <c r="N15" s="30">
        <v>0</v>
      </c>
      <c r="O15" s="30">
        <f t="shared" si="0"/>
        <v>17182422.011521354</v>
      </c>
      <c r="P15" s="30">
        <f t="shared" si="3"/>
        <v>16953664.478030458</v>
      </c>
      <c r="Q15" s="49">
        <f t="shared" si="4"/>
        <v>397155.54803045839</v>
      </c>
      <c r="R15" s="48">
        <f t="shared" si="5"/>
        <v>2.3660961766338289E-2</v>
      </c>
      <c r="S15" t="s">
        <v>12</v>
      </c>
      <c r="T15">
        <v>-1350053.7855573399</v>
      </c>
      <c r="U15">
        <v>376733.55192871002</v>
      </c>
      <c r="V15">
        <v>-3.5835772488159301</v>
      </c>
      <c r="W15">
        <v>4.8410458991495701E-4</v>
      </c>
      <c r="AF15" s="70"/>
      <c r="AG15" s="65"/>
      <c r="AH15" s="37"/>
      <c r="AK15" s="108"/>
      <c r="AL15" s="108"/>
      <c r="AO15" s="5"/>
      <c r="AP15" s="5"/>
      <c r="AQ15" s="109"/>
      <c r="AR15" s="27"/>
    </row>
    <row r="16" spans="1:44" ht="12.75" customHeight="1" x14ac:dyDescent="0.2">
      <c r="A16" s="2">
        <v>40940</v>
      </c>
      <c r="B16">
        <f t="shared" si="1"/>
        <v>2012</v>
      </c>
      <c r="C16">
        <f t="shared" si="2"/>
        <v>2</v>
      </c>
      <c r="D16" s="54">
        <v>15850543.67</v>
      </c>
      <c r="E16" s="54">
        <v>228757.53349089678</v>
      </c>
      <c r="F16" s="54">
        <v>16079301.203490896</v>
      </c>
      <c r="G16" s="126">
        <v>299.70000000000005</v>
      </c>
      <c r="H16" s="126">
        <v>0</v>
      </c>
      <c r="I16" s="124">
        <f t="shared" ref="I16:J31" si="6">I4</f>
        <v>403.5</v>
      </c>
      <c r="J16" s="124">
        <f t="shared" si="6"/>
        <v>0</v>
      </c>
      <c r="K16" s="30">
        <v>29</v>
      </c>
      <c r="L16" s="30">
        <v>272</v>
      </c>
      <c r="M16" s="30">
        <v>2889.3</v>
      </c>
      <c r="N16" s="30">
        <v>0</v>
      </c>
      <c r="O16" s="30">
        <f t="shared" si="0"/>
        <v>16618892.118223375</v>
      </c>
      <c r="P16" s="30">
        <f t="shared" si="3"/>
        <v>16390134.584732478</v>
      </c>
      <c r="Q16" s="49">
        <f t="shared" si="4"/>
        <v>539590.91473247856</v>
      </c>
      <c r="R16" s="48">
        <f t="shared" si="5"/>
        <v>3.3558107277406476E-2</v>
      </c>
      <c r="W16" s="2"/>
      <c r="AF16" s="70"/>
      <c r="AG16" s="65"/>
      <c r="AH16" s="37"/>
      <c r="AK16" s="110"/>
      <c r="AL16" s="108"/>
      <c r="AO16" s="5"/>
      <c r="AP16" s="5"/>
      <c r="AR16" s="27"/>
    </row>
    <row r="17" spans="1:45" ht="12.75" customHeight="1" x14ac:dyDescent="0.2">
      <c r="A17" s="2">
        <v>40969</v>
      </c>
      <c r="B17">
        <f t="shared" si="1"/>
        <v>2012</v>
      </c>
      <c r="C17">
        <f t="shared" si="2"/>
        <v>3</v>
      </c>
      <c r="D17" s="54">
        <v>16308714.269999996</v>
      </c>
      <c r="E17" s="54">
        <v>228757.53349089678</v>
      </c>
      <c r="F17" s="54">
        <v>16537471.803490892</v>
      </c>
      <c r="G17" s="126">
        <v>145</v>
      </c>
      <c r="H17" s="126">
        <v>23.799999999999997</v>
      </c>
      <c r="I17" s="124">
        <f t="shared" si="6"/>
        <v>291.06</v>
      </c>
      <c r="J17" s="124">
        <f t="shared" si="6"/>
        <v>2.8099999999999996</v>
      </c>
      <c r="K17" s="30">
        <v>31</v>
      </c>
      <c r="L17" s="30">
        <v>272</v>
      </c>
      <c r="M17" s="30">
        <v>2893.8</v>
      </c>
      <c r="N17" s="30">
        <v>0</v>
      </c>
      <c r="O17" s="30">
        <f t="shared" si="0"/>
        <v>17157621.961134668</v>
      </c>
      <c r="P17" s="30">
        <f t="shared" si="3"/>
        <v>16928864.427643772</v>
      </c>
      <c r="Q17" s="49">
        <f t="shared" si="4"/>
        <v>620150.15764377639</v>
      </c>
      <c r="R17" s="48">
        <f t="shared" si="5"/>
        <v>3.7499695540697396E-2</v>
      </c>
      <c r="S17" t="s">
        <v>24</v>
      </c>
      <c r="W17" s="2"/>
      <c r="AF17" s="70"/>
      <c r="AG17" s="65"/>
      <c r="AH17" s="37"/>
      <c r="AK17" s="108"/>
      <c r="AL17" s="108"/>
      <c r="AN17" s="27"/>
      <c r="AO17" s="5"/>
      <c r="AP17" s="5"/>
      <c r="AR17" s="27"/>
    </row>
    <row r="18" spans="1:45" ht="12.75" customHeight="1" x14ac:dyDescent="0.2">
      <c r="A18" s="2">
        <v>41000</v>
      </c>
      <c r="B18">
        <f t="shared" si="1"/>
        <v>2012</v>
      </c>
      <c r="C18">
        <f t="shared" si="2"/>
        <v>4</v>
      </c>
      <c r="D18" s="54">
        <v>14651507.389999997</v>
      </c>
      <c r="E18" s="54">
        <v>228757.53349089678</v>
      </c>
      <c r="F18" s="54">
        <v>14880264.923490893</v>
      </c>
      <c r="G18" s="126">
        <v>100.89999999999999</v>
      </c>
      <c r="H18" s="126">
        <v>11.199999999999998</v>
      </c>
      <c r="I18" s="124">
        <f t="shared" si="6"/>
        <v>120.71999999999998</v>
      </c>
      <c r="J18" s="124">
        <f t="shared" si="6"/>
        <v>6.58</v>
      </c>
      <c r="K18" s="30">
        <v>30</v>
      </c>
      <c r="L18" s="30">
        <v>272</v>
      </c>
      <c r="M18" s="30">
        <v>2898.4</v>
      </c>
      <c r="N18" s="30">
        <v>0</v>
      </c>
      <c r="O18" s="30">
        <f t="shared" si="0"/>
        <v>14952674.793959882</v>
      </c>
      <c r="P18" s="30">
        <f t="shared" si="3"/>
        <v>14723917.260468986</v>
      </c>
      <c r="Q18" s="49">
        <f t="shared" si="4"/>
        <v>72409.870468989015</v>
      </c>
      <c r="R18" s="48">
        <f t="shared" si="5"/>
        <v>4.8661680985718457E-3</v>
      </c>
      <c r="S18" t="s">
        <v>25</v>
      </c>
      <c r="T18">
        <v>18186427.466997601</v>
      </c>
      <c r="U18" t="s">
        <v>26</v>
      </c>
      <c r="V18">
        <v>1565701.4226951101</v>
      </c>
      <c r="W18" s="2"/>
      <c r="Y18" s="86"/>
      <c r="Z18" s="86"/>
      <c r="AA18" s="86"/>
      <c r="AD18" s="49"/>
      <c r="AE18" s="49"/>
      <c r="AF18" s="65"/>
      <c r="AG18" s="49"/>
      <c r="AH18" s="73"/>
      <c r="AI18" s="73"/>
      <c r="AK18" s="57"/>
      <c r="AL18" s="67"/>
      <c r="AM18" s="67"/>
      <c r="AN18"/>
      <c r="AO18" s="5"/>
      <c r="AP18" s="5"/>
      <c r="AR18" s="27"/>
    </row>
    <row r="19" spans="1:45" ht="12.75" customHeight="1" x14ac:dyDescent="0.2">
      <c r="A19" s="2">
        <v>41030</v>
      </c>
      <c r="B19">
        <f t="shared" si="1"/>
        <v>2012</v>
      </c>
      <c r="C19">
        <f t="shared" si="2"/>
        <v>5</v>
      </c>
      <c r="D19" s="54">
        <v>16853445.379999999</v>
      </c>
      <c r="E19" s="54">
        <v>228757.53349089678</v>
      </c>
      <c r="F19" s="54">
        <v>17082202.913490895</v>
      </c>
      <c r="G19" s="126">
        <v>0</v>
      </c>
      <c r="H19" s="126">
        <v>149.10000000000002</v>
      </c>
      <c r="I19" s="124">
        <f t="shared" si="6"/>
        <v>16.330000000000002</v>
      </c>
      <c r="J19" s="124">
        <f t="shared" si="6"/>
        <v>107.25</v>
      </c>
      <c r="K19" s="30">
        <v>31</v>
      </c>
      <c r="L19" s="30">
        <v>273</v>
      </c>
      <c r="M19" s="30">
        <v>2901.7</v>
      </c>
      <c r="N19" s="30">
        <v>0</v>
      </c>
      <c r="O19" s="30">
        <f t="shared" si="0"/>
        <v>16889706.131193567</v>
      </c>
      <c r="P19" s="30">
        <f t="shared" si="3"/>
        <v>16660948.597702671</v>
      </c>
      <c r="Q19" s="49">
        <f t="shared" si="4"/>
        <v>-192496.78229732811</v>
      </c>
      <c r="R19" s="48">
        <f t="shared" si="5"/>
        <v>1.1268849999744543E-2</v>
      </c>
      <c r="S19" t="s">
        <v>27</v>
      </c>
      <c r="T19">
        <v>36486058102412</v>
      </c>
      <c r="U19" t="s">
        <v>28</v>
      </c>
      <c r="V19">
        <v>540267.03103122604</v>
      </c>
      <c r="W19" s="2"/>
      <c r="AF19" s="6"/>
      <c r="AG19" s="6"/>
      <c r="AH19" s="144"/>
      <c r="AI19" s="144"/>
    </row>
    <row r="20" spans="1:45" ht="12.75" customHeight="1" x14ac:dyDescent="0.2">
      <c r="A20" s="2">
        <v>41061</v>
      </c>
      <c r="B20">
        <f t="shared" si="1"/>
        <v>2012</v>
      </c>
      <c r="C20">
        <f t="shared" si="2"/>
        <v>6</v>
      </c>
      <c r="D20" s="54">
        <v>16649642.679999992</v>
      </c>
      <c r="E20" s="54">
        <v>228757.53349089678</v>
      </c>
      <c r="F20" s="54">
        <v>16878400.213490888</v>
      </c>
      <c r="G20" s="126">
        <v>0</v>
      </c>
      <c r="H20" s="126">
        <v>258.40000000000003</v>
      </c>
      <c r="I20" s="124">
        <f t="shared" si="6"/>
        <v>0</v>
      </c>
      <c r="J20" s="124">
        <f t="shared" si="6"/>
        <v>230.10000000000005</v>
      </c>
      <c r="K20" s="30">
        <v>30</v>
      </c>
      <c r="L20" s="30">
        <v>271</v>
      </c>
      <c r="M20" s="30">
        <v>2910.2</v>
      </c>
      <c r="N20" s="30">
        <v>0</v>
      </c>
      <c r="O20" s="30">
        <f t="shared" si="0"/>
        <v>16690824.850610511</v>
      </c>
      <c r="P20" s="30">
        <f t="shared" si="3"/>
        <v>16462067.317119615</v>
      </c>
      <c r="Q20" s="49">
        <f t="shared" si="4"/>
        <v>-187575.3628803771</v>
      </c>
      <c r="R20" s="48">
        <f t="shared" si="5"/>
        <v>1.1113337787218026E-2</v>
      </c>
      <c r="S20" t="s">
        <v>29</v>
      </c>
      <c r="T20">
        <v>0.88641900885854397</v>
      </c>
      <c r="U20" t="s">
        <v>30</v>
      </c>
      <c r="V20">
        <v>0.88096712128375398</v>
      </c>
      <c r="W20" s="2"/>
      <c r="AF20" s="6"/>
      <c r="AG20" s="6"/>
      <c r="AH20" s="6"/>
    </row>
    <row r="21" spans="1:45" ht="12.75" customHeight="1" x14ac:dyDescent="0.2">
      <c r="A21" s="2">
        <v>41091</v>
      </c>
      <c r="B21">
        <f t="shared" si="1"/>
        <v>2012</v>
      </c>
      <c r="C21">
        <f t="shared" si="2"/>
        <v>7</v>
      </c>
      <c r="D21" s="54">
        <v>16931323.719999995</v>
      </c>
      <c r="E21" s="54">
        <v>228757.53349089678</v>
      </c>
      <c r="F21" s="54">
        <v>17160081.253490891</v>
      </c>
      <c r="G21" s="126">
        <v>0</v>
      </c>
      <c r="H21" s="126">
        <v>381.40000000000003</v>
      </c>
      <c r="I21" s="124">
        <f t="shared" si="6"/>
        <v>0</v>
      </c>
      <c r="J21" s="124">
        <f t="shared" si="6"/>
        <v>331.41</v>
      </c>
      <c r="K21" s="30">
        <v>31</v>
      </c>
      <c r="L21" s="30">
        <v>271</v>
      </c>
      <c r="M21" s="30">
        <v>2925.1</v>
      </c>
      <c r="N21" s="30">
        <v>0</v>
      </c>
      <c r="O21" s="30">
        <f t="shared" si="0"/>
        <v>16828742.299766861</v>
      </c>
      <c r="P21" s="30">
        <f t="shared" si="3"/>
        <v>16599984.766275965</v>
      </c>
      <c r="Q21" s="49">
        <f t="shared" si="4"/>
        <v>-331338.95372403041</v>
      </c>
      <c r="R21" s="48">
        <f t="shared" si="5"/>
        <v>1.9308705409342149E-2</v>
      </c>
      <c r="S21" t="s">
        <v>89</v>
      </c>
      <c r="T21">
        <v>101.957869584908</v>
      </c>
      <c r="U21" t="s">
        <v>31</v>
      </c>
      <c r="V21" s="79">
        <v>1.00478826861715E-45</v>
      </c>
      <c r="W21" s="2"/>
      <c r="AF21" s="6"/>
      <c r="AG21" s="6"/>
      <c r="AH21" s="6"/>
    </row>
    <row r="22" spans="1:45" ht="12.75" customHeight="1" x14ac:dyDescent="0.2">
      <c r="A22" s="2">
        <v>41122</v>
      </c>
      <c r="B22">
        <f t="shared" si="1"/>
        <v>2012</v>
      </c>
      <c r="C22">
        <f t="shared" si="2"/>
        <v>8</v>
      </c>
      <c r="D22" s="54">
        <v>16567283.779999997</v>
      </c>
      <c r="E22" s="54">
        <v>228757.53349089678</v>
      </c>
      <c r="F22" s="54">
        <v>16796041.313490894</v>
      </c>
      <c r="G22" s="126">
        <v>0</v>
      </c>
      <c r="H22" s="126">
        <v>296.10000000000002</v>
      </c>
      <c r="I22" s="124">
        <f t="shared" si="6"/>
        <v>0</v>
      </c>
      <c r="J22" s="124">
        <f t="shared" si="6"/>
        <v>304.46000000000004</v>
      </c>
      <c r="K22" s="30">
        <v>31</v>
      </c>
      <c r="L22" s="30">
        <v>270</v>
      </c>
      <c r="M22" s="30">
        <v>2942.6</v>
      </c>
      <c r="N22" s="30">
        <v>0</v>
      </c>
      <c r="O22" s="30">
        <f t="shared" si="0"/>
        <v>16851452.268744603</v>
      </c>
      <c r="P22" s="30">
        <f t="shared" si="3"/>
        <v>16622694.735253707</v>
      </c>
      <c r="Q22" s="49">
        <f t="shared" si="4"/>
        <v>55410.955253709108</v>
      </c>
      <c r="R22" s="48">
        <f t="shared" si="5"/>
        <v>3.2990485209870254E-3</v>
      </c>
      <c r="S22" t="s">
        <v>32</v>
      </c>
      <c r="T22">
        <v>-4.2801898643213598E-2</v>
      </c>
      <c r="U22" t="s">
        <v>33</v>
      </c>
      <c r="V22">
        <v>2.0605650495104402</v>
      </c>
      <c r="W22" s="2"/>
      <c r="AF22" s="6"/>
      <c r="AG22" s="6"/>
      <c r="AH22" s="6"/>
    </row>
    <row r="23" spans="1:45" ht="12.75" customHeight="1" x14ac:dyDescent="0.2">
      <c r="A23" s="2">
        <v>41153</v>
      </c>
      <c r="B23">
        <f t="shared" si="1"/>
        <v>2012</v>
      </c>
      <c r="C23">
        <f t="shared" si="2"/>
        <v>9</v>
      </c>
      <c r="D23" s="54">
        <v>15411421.599999998</v>
      </c>
      <c r="E23" s="54">
        <v>228757.53349089678</v>
      </c>
      <c r="F23" s="54">
        <v>15640179.133490894</v>
      </c>
      <c r="G23" s="126">
        <v>0.5</v>
      </c>
      <c r="H23" s="126">
        <v>136.99999999999997</v>
      </c>
      <c r="I23" s="124">
        <f t="shared" si="6"/>
        <v>0.24999999999999983</v>
      </c>
      <c r="J23" s="124">
        <f t="shared" si="6"/>
        <v>176.51</v>
      </c>
      <c r="K23" s="30">
        <v>30</v>
      </c>
      <c r="L23" s="30">
        <v>271</v>
      </c>
      <c r="M23" s="30">
        <v>2963.5</v>
      </c>
      <c r="N23" s="30">
        <v>0</v>
      </c>
      <c r="O23" s="30">
        <f t="shared" si="0"/>
        <v>15900755.957245046</v>
      </c>
      <c r="P23" s="30">
        <f t="shared" si="3"/>
        <v>15671998.42375415</v>
      </c>
      <c r="Q23" s="49">
        <f t="shared" si="4"/>
        <v>260576.82375415228</v>
      </c>
      <c r="R23" s="48">
        <f t="shared" si="5"/>
        <v>1.6660731410433113E-2</v>
      </c>
      <c r="W23" s="2"/>
      <c r="AF23" s="6"/>
      <c r="AG23" s="6"/>
      <c r="AH23" s="6"/>
    </row>
    <row r="24" spans="1:45" ht="12.75" customHeight="1" x14ac:dyDescent="0.2">
      <c r="A24" s="2">
        <v>41183</v>
      </c>
      <c r="B24">
        <f t="shared" si="1"/>
        <v>2012</v>
      </c>
      <c r="C24">
        <f t="shared" si="2"/>
        <v>10</v>
      </c>
      <c r="D24" s="54">
        <v>15760124.100000001</v>
      </c>
      <c r="E24" s="54">
        <v>228757.53349089678</v>
      </c>
      <c r="F24" s="54">
        <v>15988881.633490898</v>
      </c>
      <c r="G24" s="126">
        <v>48.9</v>
      </c>
      <c r="H24" s="126">
        <v>28.9</v>
      </c>
      <c r="I24" s="124">
        <f t="shared" si="6"/>
        <v>44.309999999999995</v>
      </c>
      <c r="J24" s="124">
        <f t="shared" si="6"/>
        <v>43.36</v>
      </c>
      <c r="K24" s="30">
        <v>31</v>
      </c>
      <c r="L24" s="30">
        <v>271</v>
      </c>
      <c r="M24" s="30">
        <v>2982.9</v>
      </c>
      <c r="N24" s="30">
        <v>0</v>
      </c>
      <c r="O24" s="30">
        <f t="shared" si="0"/>
        <v>16060863.504278556</v>
      </c>
      <c r="P24" s="30">
        <f t="shared" si="3"/>
        <v>15832105.970787659</v>
      </c>
      <c r="Q24" s="49">
        <f t="shared" si="4"/>
        <v>71981.870787657797</v>
      </c>
      <c r="R24" s="48">
        <f t="shared" si="5"/>
        <v>4.5019953513747912E-3</v>
      </c>
      <c r="AF24" s="6"/>
      <c r="AG24" s="6"/>
      <c r="AH24" s="6"/>
    </row>
    <row r="25" spans="1:45" ht="12.75" customHeight="1" x14ac:dyDescent="0.2">
      <c r="A25" s="2">
        <v>41214</v>
      </c>
      <c r="B25">
        <f t="shared" si="1"/>
        <v>2012</v>
      </c>
      <c r="C25">
        <f t="shared" si="2"/>
        <v>11</v>
      </c>
      <c r="D25" s="54">
        <v>16203457.51</v>
      </c>
      <c r="E25" s="54">
        <v>228757.53349089678</v>
      </c>
      <c r="F25" s="54">
        <v>16432215.043490896</v>
      </c>
      <c r="G25" s="126">
        <v>197.7</v>
      </c>
      <c r="H25" s="126">
        <v>0.5</v>
      </c>
      <c r="I25" s="124">
        <f t="shared" si="6"/>
        <v>193.95999999999998</v>
      </c>
      <c r="J25" s="124">
        <f t="shared" si="6"/>
        <v>2.7399999999999998</v>
      </c>
      <c r="K25" s="30">
        <v>30</v>
      </c>
      <c r="L25" s="30">
        <v>271</v>
      </c>
      <c r="M25" s="30">
        <v>3000.2</v>
      </c>
      <c r="N25" s="30">
        <v>0</v>
      </c>
      <c r="O25" s="30">
        <f t="shared" si="0"/>
        <v>16427620.090290915</v>
      </c>
      <c r="P25" s="30">
        <f t="shared" si="3"/>
        <v>16198862.556800019</v>
      </c>
      <c r="Q25" s="49">
        <f t="shared" si="4"/>
        <v>-4594.9531999807805</v>
      </c>
      <c r="R25" s="48">
        <f t="shared" si="5"/>
        <v>2.7963078549175427E-4</v>
      </c>
      <c r="AC25" s="2"/>
      <c r="AD25" s="49"/>
      <c r="AE25" s="49"/>
      <c r="AF25" s="65"/>
      <c r="AG25" s="69"/>
      <c r="AH25" s="2"/>
      <c r="AI25" s="37"/>
      <c r="AL25" s="2"/>
      <c r="AM25" s="70"/>
      <c r="AN25" s="70"/>
      <c r="AO25" s="70"/>
      <c r="AP25" s="2"/>
      <c r="AQ25" s="70"/>
      <c r="AR25" s="70"/>
      <c r="AS25" s="5"/>
    </row>
    <row r="26" spans="1:45" ht="12.75" customHeight="1" x14ac:dyDescent="0.2">
      <c r="A26" s="2">
        <v>41244</v>
      </c>
      <c r="B26">
        <f t="shared" si="1"/>
        <v>2012</v>
      </c>
      <c r="C26">
        <f t="shared" si="2"/>
        <v>12</v>
      </c>
      <c r="D26" s="54">
        <v>16462599.949999996</v>
      </c>
      <c r="E26" s="54">
        <v>228757.53349089678</v>
      </c>
      <c r="F26" s="54">
        <v>16691357.483490892</v>
      </c>
      <c r="G26" s="126">
        <v>286.00000000000006</v>
      </c>
      <c r="H26" s="126">
        <v>0</v>
      </c>
      <c r="I26" s="124">
        <f t="shared" si="6"/>
        <v>327.48000000000008</v>
      </c>
      <c r="J26" s="124">
        <f t="shared" si="6"/>
        <v>0</v>
      </c>
      <c r="K26" s="30">
        <v>31</v>
      </c>
      <c r="L26" s="30">
        <v>271</v>
      </c>
      <c r="M26" s="30">
        <v>3005.9</v>
      </c>
      <c r="N26" s="30">
        <v>0</v>
      </c>
      <c r="O26" s="30">
        <f t="shared" si="0"/>
        <v>16906985.914541982</v>
      </c>
      <c r="P26" s="30">
        <f t="shared" si="3"/>
        <v>16678228.381051086</v>
      </c>
      <c r="Q26" s="49">
        <f t="shared" si="4"/>
        <v>215628.43105109036</v>
      </c>
      <c r="R26" s="48">
        <f t="shared" si="5"/>
        <v>1.2918567663796333E-2</v>
      </c>
      <c r="AC26" s="2"/>
      <c r="AD26" s="49"/>
      <c r="AE26" s="49"/>
      <c r="AF26" s="65"/>
      <c r="AG26" s="69"/>
      <c r="AH26" s="2"/>
      <c r="AI26" s="37"/>
      <c r="AL26" s="2"/>
      <c r="AM26" s="70"/>
      <c r="AN26" s="70"/>
      <c r="AO26" s="70"/>
      <c r="AP26" s="2"/>
      <c r="AQ26" s="70"/>
      <c r="AR26" s="70"/>
      <c r="AS26" s="5"/>
    </row>
    <row r="27" spans="1:45" ht="12.75" customHeight="1" x14ac:dyDescent="0.2">
      <c r="A27" s="2">
        <v>41275</v>
      </c>
      <c r="B27">
        <f t="shared" si="1"/>
        <v>2013</v>
      </c>
      <c r="C27">
        <f t="shared" si="2"/>
        <v>1</v>
      </c>
      <c r="D27" s="54">
        <v>16989455.739999998</v>
      </c>
      <c r="E27" s="54">
        <v>344677.17204248341</v>
      </c>
      <c r="F27" s="54">
        <v>17334132.91204248</v>
      </c>
      <c r="G27" s="126">
        <v>376.50000000000006</v>
      </c>
      <c r="H27" s="126">
        <v>0</v>
      </c>
      <c r="I27" s="124">
        <f t="shared" si="6"/>
        <v>439.5</v>
      </c>
      <c r="J27" s="124">
        <f t="shared" si="6"/>
        <v>0</v>
      </c>
      <c r="K27" s="30">
        <v>31</v>
      </c>
      <c r="L27" s="30">
        <v>271</v>
      </c>
      <c r="M27" s="30">
        <v>3014.1</v>
      </c>
      <c r="N27" s="30">
        <v>0</v>
      </c>
      <c r="O27" s="30">
        <f t="shared" si="0"/>
        <v>17661630.288036183</v>
      </c>
      <c r="P27" s="30">
        <f t="shared" si="3"/>
        <v>17316953.115993701</v>
      </c>
      <c r="Q27" s="49">
        <f t="shared" si="4"/>
        <v>327497.37599370256</v>
      </c>
      <c r="R27" s="48">
        <f t="shared" si="5"/>
        <v>1.8893207849247626E-2</v>
      </c>
      <c r="AC27" s="2"/>
      <c r="AD27" s="49"/>
      <c r="AE27" s="49"/>
      <c r="AF27" s="71"/>
      <c r="AG27" s="69"/>
      <c r="AH27" s="2"/>
      <c r="AI27" s="37"/>
      <c r="AL27" s="2"/>
      <c r="AM27" s="70"/>
      <c r="AO27" s="5"/>
      <c r="AP27" s="2"/>
      <c r="AQ27" s="70"/>
      <c r="AR27" s="5"/>
      <c r="AS27" s="5"/>
    </row>
    <row r="28" spans="1:45" x14ac:dyDescent="0.2">
      <c r="A28" s="2">
        <v>41306</v>
      </c>
      <c r="B28">
        <f t="shared" si="1"/>
        <v>2013</v>
      </c>
      <c r="C28">
        <f t="shared" si="2"/>
        <v>2</v>
      </c>
      <c r="D28" s="54">
        <v>16279005.990000002</v>
      </c>
      <c r="E28" s="54">
        <v>344677.17204248341</v>
      </c>
      <c r="F28" s="54">
        <v>16623683.162042486</v>
      </c>
      <c r="G28" s="126">
        <v>407.49999999999989</v>
      </c>
      <c r="H28" s="126">
        <v>0</v>
      </c>
      <c r="I28" s="124">
        <f t="shared" si="6"/>
        <v>403.5</v>
      </c>
      <c r="J28" s="124">
        <f t="shared" si="6"/>
        <v>0</v>
      </c>
      <c r="K28" s="30">
        <v>28</v>
      </c>
      <c r="L28" s="30">
        <v>271</v>
      </c>
      <c r="M28" s="30">
        <v>3018.3</v>
      </c>
      <c r="N28" s="30">
        <v>0</v>
      </c>
      <c r="O28" s="30">
        <f t="shared" si="0"/>
        <v>16602889.677852409</v>
      </c>
      <c r="P28" s="30">
        <f t="shared" si="3"/>
        <v>16258212.505809925</v>
      </c>
      <c r="Q28" s="49">
        <f t="shared" si="4"/>
        <v>-20793.48419007659</v>
      </c>
      <c r="R28" s="48">
        <f t="shared" si="5"/>
        <v>1.2508349676415378E-3</v>
      </c>
      <c r="AC28" s="2"/>
      <c r="AD28" s="49"/>
      <c r="AE28" s="49"/>
      <c r="AF28" s="65"/>
      <c r="AG28" s="69"/>
      <c r="AH28" s="2"/>
      <c r="AI28" s="37"/>
      <c r="AL28" s="2"/>
      <c r="AM28" s="70"/>
      <c r="AO28" s="5"/>
      <c r="AP28" s="2"/>
      <c r="AQ28" s="70"/>
      <c r="AR28" s="5"/>
      <c r="AS28" s="5"/>
    </row>
    <row r="29" spans="1:45" x14ac:dyDescent="0.2">
      <c r="A29" s="2">
        <v>41334</v>
      </c>
      <c r="B29">
        <f t="shared" si="1"/>
        <v>2013</v>
      </c>
      <c r="C29">
        <f t="shared" si="2"/>
        <v>3</v>
      </c>
      <c r="D29" s="54">
        <v>17118643.850000001</v>
      </c>
      <c r="E29" s="54">
        <v>344677.17204248341</v>
      </c>
      <c r="F29" s="54">
        <v>17463321.022042483</v>
      </c>
      <c r="G29" s="126">
        <v>306.8</v>
      </c>
      <c r="H29" s="126">
        <v>0</v>
      </c>
      <c r="I29" s="124">
        <f t="shared" si="6"/>
        <v>291.06</v>
      </c>
      <c r="J29" s="124">
        <f t="shared" si="6"/>
        <v>2.8099999999999996</v>
      </c>
      <c r="K29" s="30">
        <v>31</v>
      </c>
      <c r="L29" s="30">
        <v>272</v>
      </c>
      <c r="M29" s="30">
        <v>3023.1</v>
      </c>
      <c r="N29" s="30">
        <v>0</v>
      </c>
      <c r="O29" s="30">
        <f t="shared" si="0"/>
        <v>17400123.635948662</v>
      </c>
      <c r="P29" s="30">
        <f t="shared" si="3"/>
        <v>17055446.46390618</v>
      </c>
      <c r="Q29" s="49">
        <f t="shared" si="4"/>
        <v>-63197.386093821377</v>
      </c>
      <c r="R29" s="48">
        <f t="shared" si="5"/>
        <v>3.6188641332340296E-3</v>
      </c>
      <c r="AC29" s="2"/>
      <c r="AD29" s="49"/>
      <c r="AE29" s="49"/>
      <c r="AF29" s="65"/>
      <c r="AG29" s="69"/>
      <c r="AH29" s="2"/>
      <c r="AI29" s="37"/>
      <c r="AL29" s="2"/>
      <c r="AM29" s="70"/>
      <c r="AO29" s="5"/>
      <c r="AP29" s="2"/>
      <c r="AQ29" s="70"/>
      <c r="AR29" s="5"/>
      <c r="AS29" s="5"/>
    </row>
    <row r="30" spans="1:45" x14ac:dyDescent="0.2">
      <c r="A30" s="2">
        <v>41365</v>
      </c>
      <c r="B30">
        <f t="shared" si="1"/>
        <v>2013</v>
      </c>
      <c r="C30">
        <f t="shared" si="2"/>
        <v>4</v>
      </c>
      <c r="D30" s="54">
        <v>16317712.539999994</v>
      </c>
      <c r="E30" s="54">
        <v>344677.17204248341</v>
      </c>
      <c r="F30" s="54">
        <v>16662389.712042477</v>
      </c>
      <c r="G30" s="126">
        <v>135.19999999999999</v>
      </c>
      <c r="H30" s="126">
        <v>5.6000000000000014</v>
      </c>
      <c r="I30" s="124">
        <f t="shared" si="6"/>
        <v>120.71999999999998</v>
      </c>
      <c r="J30" s="124">
        <f t="shared" si="6"/>
        <v>6.58</v>
      </c>
      <c r="K30" s="30">
        <v>30</v>
      </c>
      <c r="L30" s="30">
        <v>273</v>
      </c>
      <c r="M30" s="30">
        <v>3031.4</v>
      </c>
      <c r="N30" s="30">
        <v>0</v>
      </c>
      <c r="O30" s="30">
        <f t="shared" si="0"/>
        <v>16593612.841875913</v>
      </c>
      <c r="P30" s="30">
        <f t="shared" si="3"/>
        <v>16248935.669833429</v>
      </c>
      <c r="Q30" s="49">
        <f t="shared" si="4"/>
        <v>-68776.87016656436</v>
      </c>
      <c r="R30" s="48">
        <f t="shared" si="5"/>
        <v>4.1276714418014707E-3</v>
      </c>
      <c r="AC30" s="2"/>
      <c r="AD30" s="49"/>
      <c r="AE30" s="49"/>
      <c r="AF30" s="71"/>
      <c r="AG30" s="69"/>
      <c r="AH30" s="2"/>
      <c r="AI30" s="37"/>
      <c r="AL30" s="2"/>
      <c r="AM30" s="70"/>
      <c r="AO30" s="5"/>
      <c r="AP30" s="2"/>
      <c r="AQ30" s="70"/>
      <c r="AR30" s="5"/>
      <c r="AS30" s="5"/>
    </row>
    <row r="31" spans="1:45" x14ac:dyDescent="0.2">
      <c r="A31" s="2">
        <v>41395</v>
      </c>
      <c r="B31">
        <f t="shared" si="1"/>
        <v>2013</v>
      </c>
      <c r="C31">
        <f t="shared" si="2"/>
        <v>5</v>
      </c>
      <c r="D31" s="54">
        <v>16555856.940000001</v>
      </c>
      <c r="E31" s="54">
        <v>344677.17204248341</v>
      </c>
      <c r="F31" s="54">
        <v>16900534.112042483</v>
      </c>
      <c r="G31" s="126">
        <v>14.4</v>
      </c>
      <c r="H31" s="126">
        <v>126.3</v>
      </c>
      <c r="I31" s="124">
        <f t="shared" si="6"/>
        <v>16.330000000000002</v>
      </c>
      <c r="J31" s="124">
        <f t="shared" si="6"/>
        <v>107.25</v>
      </c>
      <c r="K31" s="30">
        <v>31</v>
      </c>
      <c r="L31" s="30">
        <v>272</v>
      </c>
      <c r="M31" s="30">
        <v>3045.2</v>
      </c>
      <c r="N31" s="30">
        <v>0</v>
      </c>
      <c r="O31" s="30">
        <f t="shared" si="0"/>
        <v>16784301.57371645</v>
      </c>
      <c r="P31" s="30">
        <f t="shared" si="3"/>
        <v>16439624.401673967</v>
      </c>
      <c r="Q31" s="49">
        <f t="shared" si="4"/>
        <v>-116232.53832603246</v>
      </c>
      <c r="R31" s="48">
        <f t="shared" si="5"/>
        <v>6.8774476330432013E-3</v>
      </c>
      <c r="AC31" s="2"/>
      <c r="AD31" s="49"/>
      <c r="AE31" s="49"/>
      <c r="AF31" s="65"/>
      <c r="AG31" s="69"/>
      <c r="AH31" s="2"/>
      <c r="AI31" s="37"/>
      <c r="AL31" s="2"/>
      <c r="AM31" s="70"/>
      <c r="AO31" s="5"/>
      <c r="AP31" s="2"/>
      <c r="AQ31" s="70"/>
      <c r="AR31" s="5"/>
      <c r="AS31" s="5"/>
    </row>
    <row r="32" spans="1:45" x14ac:dyDescent="0.2">
      <c r="A32" s="2">
        <v>41426</v>
      </c>
      <c r="B32">
        <f t="shared" si="1"/>
        <v>2013</v>
      </c>
      <c r="C32">
        <f t="shared" si="2"/>
        <v>6</v>
      </c>
      <c r="D32" s="54">
        <v>16748419.359999999</v>
      </c>
      <c r="E32" s="54">
        <v>344677.17204248341</v>
      </c>
      <c r="F32" s="54">
        <v>17093096.532042481</v>
      </c>
      <c r="G32" s="126">
        <v>0</v>
      </c>
      <c r="H32" s="126">
        <v>207.00000000000006</v>
      </c>
      <c r="I32" s="124">
        <f t="shared" ref="I32:J47" si="7">I20</f>
        <v>0</v>
      </c>
      <c r="J32" s="124">
        <f t="shared" si="7"/>
        <v>230.10000000000005</v>
      </c>
      <c r="K32" s="30">
        <v>30</v>
      </c>
      <c r="L32" s="30">
        <v>273</v>
      </c>
      <c r="M32" s="30">
        <v>3060.2</v>
      </c>
      <c r="N32" s="30">
        <v>0</v>
      </c>
      <c r="O32" s="30">
        <f t="shared" si="0"/>
        <v>17246205.750506677</v>
      </c>
      <c r="P32" s="30">
        <f t="shared" si="3"/>
        <v>16901528.578464195</v>
      </c>
      <c r="Q32" s="49">
        <f t="shared" si="4"/>
        <v>153109.21846419573</v>
      </c>
      <c r="R32" s="48">
        <f t="shared" si="5"/>
        <v>8.9573716603764172E-3</v>
      </c>
      <c r="AC32" s="2"/>
      <c r="AD32" s="49"/>
      <c r="AE32" s="49"/>
      <c r="AF32" s="65"/>
      <c r="AG32" s="69"/>
      <c r="AH32" s="2"/>
      <c r="AI32" s="37"/>
      <c r="AL32" s="2"/>
      <c r="AM32" s="70"/>
      <c r="AO32" s="5"/>
      <c r="AP32" s="2"/>
      <c r="AQ32" s="70"/>
      <c r="AR32" s="5"/>
      <c r="AS32" s="5"/>
    </row>
    <row r="33" spans="1:49" x14ac:dyDescent="0.2">
      <c r="A33" s="2">
        <v>41456</v>
      </c>
      <c r="B33">
        <f t="shared" si="1"/>
        <v>2013</v>
      </c>
      <c r="C33">
        <f t="shared" si="2"/>
        <v>7</v>
      </c>
      <c r="D33" s="54">
        <v>17797829.260000005</v>
      </c>
      <c r="E33" s="54">
        <v>344677.17204248341</v>
      </c>
      <c r="F33" s="54">
        <v>18142506.432042487</v>
      </c>
      <c r="G33" s="126">
        <v>0</v>
      </c>
      <c r="H33" s="126">
        <v>319.3</v>
      </c>
      <c r="I33" s="124">
        <f t="shared" si="7"/>
        <v>0</v>
      </c>
      <c r="J33" s="124">
        <f t="shared" si="7"/>
        <v>331.41</v>
      </c>
      <c r="K33" s="30">
        <v>31</v>
      </c>
      <c r="L33" s="30">
        <v>271</v>
      </c>
      <c r="M33" s="30">
        <v>3066.1</v>
      </c>
      <c r="N33" s="30">
        <v>0</v>
      </c>
      <c r="O33" s="30">
        <f t="shared" si="0"/>
        <v>18222772.779904019</v>
      </c>
      <c r="P33" s="30">
        <f t="shared" si="3"/>
        <v>17878095.607861537</v>
      </c>
      <c r="Q33" s="49">
        <f t="shared" si="4"/>
        <v>80266.347861532122</v>
      </c>
      <c r="R33" s="48">
        <f t="shared" si="5"/>
        <v>4.4242149320542212E-3</v>
      </c>
      <c r="AC33" s="2"/>
      <c r="AD33" s="49"/>
      <c r="AE33" s="49"/>
      <c r="AF33" s="71"/>
      <c r="AG33" s="69"/>
      <c r="AH33" s="2"/>
      <c r="AI33" s="37"/>
      <c r="AL33" s="2"/>
      <c r="AM33" s="70"/>
      <c r="AO33" s="5"/>
      <c r="AP33" s="2"/>
      <c r="AQ33" s="70"/>
      <c r="AR33" s="5"/>
      <c r="AS33" s="5"/>
    </row>
    <row r="34" spans="1:49" x14ac:dyDescent="0.2">
      <c r="A34" s="2">
        <v>41487</v>
      </c>
      <c r="B34">
        <f t="shared" si="1"/>
        <v>2013</v>
      </c>
      <c r="C34">
        <f t="shared" si="2"/>
        <v>8</v>
      </c>
      <c r="D34" s="54">
        <v>17433510.789999999</v>
      </c>
      <c r="E34" s="54">
        <v>344677.17204248341</v>
      </c>
      <c r="F34" s="54">
        <v>17778187.962042481</v>
      </c>
      <c r="G34" s="126">
        <v>0</v>
      </c>
      <c r="H34" s="126">
        <v>275.40000000000009</v>
      </c>
      <c r="I34" s="124">
        <f t="shared" si="7"/>
        <v>0</v>
      </c>
      <c r="J34" s="124">
        <f t="shared" si="7"/>
        <v>304.46000000000004</v>
      </c>
      <c r="K34" s="30">
        <v>31</v>
      </c>
      <c r="L34" s="30">
        <v>271</v>
      </c>
      <c r="M34" s="30">
        <v>3075.2</v>
      </c>
      <c r="N34" s="30">
        <v>0</v>
      </c>
      <c r="O34" s="30">
        <f t="shared" si="0"/>
        <v>17970800.684491377</v>
      </c>
      <c r="P34" s="30">
        <f t="shared" si="3"/>
        <v>17626123.512448896</v>
      </c>
      <c r="Q34" s="49">
        <f t="shared" si="4"/>
        <v>192612.72244889662</v>
      </c>
      <c r="R34" s="48">
        <f t="shared" si="5"/>
        <v>1.0834215661356296E-2</v>
      </c>
      <c r="AC34" s="79"/>
      <c r="AD34" s="49"/>
      <c r="AE34" s="49"/>
      <c r="AF34" s="65"/>
      <c r="AG34" s="69"/>
      <c r="AH34" s="2"/>
      <c r="AI34" s="37"/>
      <c r="AL34" s="2"/>
      <c r="AM34" s="70"/>
      <c r="AO34" s="5"/>
      <c r="AP34" s="2"/>
      <c r="AQ34" s="70"/>
      <c r="AR34" s="5"/>
      <c r="AS34" s="5"/>
    </row>
    <row r="35" spans="1:49" x14ac:dyDescent="0.2">
      <c r="A35" s="2">
        <v>41518</v>
      </c>
      <c r="B35">
        <f t="shared" si="1"/>
        <v>2013</v>
      </c>
      <c r="C35">
        <f t="shared" si="2"/>
        <v>9</v>
      </c>
      <c r="D35" s="54">
        <v>16323800.050000003</v>
      </c>
      <c r="E35" s="54">
        <v>344677.17204248341</v>
      </c>
      <c r="F35" s="54">
        <v>16668477.222042486</v>
      </c>
      <c r="G35" s="126">
        <v>0</v>
      </c>
      <c r="H35" s="126">
        <v>125.1</v>
      </c>
      <c r="I35" s="124">
        <f t="shared" si="7"/>
        <v>0.24999999999999983</v>
      </c>
      <c r="J35" s="124">
        <f t="shared" si="7"/>
        <v>176.51</v>
      </c>
      <c r="K35" s="30">
        <v>30</v>
      </c>
      <c r="L35" s="30">
        <v>272</v>
      </c>
      <c r="M35" s="30">
        <v>3080.1</v>
      </c>
      <c r="N35" s="30">
        <v>0</v>
      </c>
      <c r="O35" s="30">
        <f t="shared" ref="O35:O66" si="8">F35+(I35-G35)*$T$10+(J35-H35)*$T$11</f>
        <v>17010527.677195892</v>
      </c>
      <c r="P35" s="30">
        <f t="shared" si="3"/>
        <v>16665850.505153408</v>
      </c>
      <c r="Q35" s="49">
        <f t="shared" si="4"/>
        <v>342050.45515340567</v>
      </c>
      <c r="R35" s="48">
        <f t="shared" si="5"/>
        <v>2.052079806672899E-2</v>
      </c>
      <c r="AC35" s="79"/>
      <c r="AD35" s="49"/>
      <c r="AE35" s="49"/>
      <c r="AF35" s="65"/>
      <c r="AG35" s="69"/>
      <c r="AH35" s="2"/>
      <c r="AI35" s="37"/>
      <c r="AL35" s="2"/>
      <c r="AM35" s="70"/>
      <c r="AO35" s="5"/>
      <c r="AP35" s="2"/>
      <c r="AQ35" s="70"/>
      <c r="AR35" s="5"/>
      <c r="AS35" s="5"/>
    </row>
    <row r="36" spans="1:49" x14ac:dyDescent="0.2">
      <c r="A36" s="2">
        <v>41548</v>
      </c>
      <c r="B36">
        <f t="shared" si="1"/>
        <v>2013</v>
      </c>
      <c r="C36">
        <f t="shared" si="2"/>
        <v>10</v>
      </c>
      <c r="D36" s="54">
        <v>16888949.909999996</v>
      </c>
      <c r="E36" s="54">
        <v>344677.17204248341</v>
      </c>
      <c r="F36" s="54">
        <v>17233627.082042478</v>
      </c>
      <c r="G36" s="126">
        <v>50.6</v>
      </c>
      <c r="H36" s="126">
        <v>37.9</v>
      </c>
      <c r="I36" s="124">
        <f t="shared" si="7"/>
        <v>44.309999999999995</v>
      </c>
      <c r="J36" s="124">
        <f t="shared" si="7"/>
        <v>43.36</v>
      </c>
      <c r="K36" s="30">
        <v>31</v>
      </c>
      <c r="L36" s="30">
        <v>274</v>
      </c>
      <c r="M36" s="30">
        <v>3079.6</v>
      </c>
      <c r="N36" s="30">
        <v>0</v>
      </c>
      <c r="O36" s="30">
        <f t="shared" si="8"/>
        <v>17237118.779790577</v>
      </c>
      <c r="P36" s="30">
        <f t="shared" si="3"/>
        <v>16892441.607748095</v>
      </c>
      <c r="Q36" s="49">
        <f t="shared" si="4"/>
        <v>3491.6977480985224</v>
      </c>
      <c r="R36" s="48">
        <f t="shared" si="5"/>
        <v>2.0260956857636128E-4</v>
      </c>
      <c r="W36" s="2"/>
      <c r="AC36" s="79"/>
      <c r="AD36" s="49"/>
      <c r="AE36" s="49"/>
      <c r="AG36" s="69"/>
      <c r="AH36" s="2"/>
      <c r="AI36" s="37"/>
      <c r="AL36" s="2"/>
      <c r="AM36" s="70"/>
      <c r="AO36" s="5"/>
      <c r="AP36" s="2"/>
      <c r="AQ36" s="70"/>
      <c r="AR36" s="5"/>
      <c r="AS36" s="5"/>
    </row>
    <row r="37" spans="1:49" x14ac:dyDescent="0.2">
      <c r="A37" s="2">
        <v>41579</v>
      </c>
      <c r="B37">
        <f t="shared" si="1"/>
        <v>2013</v>
      </c>
      <c r="C37">
        <f t="shared" si="2"/>
        <v>11</v>
      </c>
      <c r="D37" s="54">
        <v>16378559.519999998</v>
      </c>
      <c r="E37" s="54">
        <v>344677.17204248341</v>
      </c>
      <c r="F37" s="54">
        <v>16723236.692042481</v>
      </c>
      <c r="G37" s="126">
        <v>243.5</v>
      </c>
      <c r="H37" s="126">
        <v>0</v>
      </c>
      <c r="I37" s="124">
        <f t="shared" si="7"/>
        <v>193.95999999999998</v>
      </c>
      <c r="J37" s="124">
        <f t="shared" si="7"/>
        <v>2.7399999999999998</v>
      </c>
      <c r="K37" s="30">
        <v>30</v>
      </c>
      <c r="L37" s="30">
        <v>273</v>
      </c>
      <c r="M37" s="30">
        <v>3076.6</v>
      </c>
      <c r="N37" s="30">
        <v>0</v>
      </c>
      <c r="O37" s="30">
        <f t="shared" si="8"/>
        <v>16483870.397213835</v>
      </c>
      <c r="P37" s="30">
        <f t="shared" si="3"/>
        <v>16139193.225171352</v>
      </c>
      <c r="Q37" s="49">
        <f t="shared" si="4"/>
        <v>-239366.29482864588</v>
      </c>
      <c r="R37" s="48">
        <f t="shared" si="5"/>
        <v>1.4313395142134477E-2</v>
      </c>
      <c r="W37" s="2"/>
      <c r="AC37" s="79"/>
      <c r="AD37" s="5"/>
      <c r="AE37" s="5"/>
      <c r="AH37" s="2"/>
      <c r="AL37" s="2"/>
      <c r="AM37" s="72"/>
      <c r="AO37" s="5"/>
      <c r="AP37" s="2"/>
      <c r="AQ37" s="72"/>
      <c r="AR37" s="5"/>
      <c r="AS37" s="5"/>
      <c r="AT37" s="28"/>
      <c r="AU37" s="28"/>
      <c r="AV37" s="28"/>
    </row>
    <row r="38" spans="1:49" x14ac:dyDescent="0.2">
      <c r="A38" s="2">
        <v>41609</v>
      </c>
      <c r="B38">
        <f t="shared" si="1"/>
        <v>2013</v>
      </c>
      <c r="C38">
        <f t="shared" si="2"/>
        <v>12</v>
      </c>
      <c r="D38" s="54">
        <v>18347866.910000004</v>
      </c>
      <c r="E38" s="54">
        <v>344677.17204248341</v>
      </c>
      <c r="F38" s="54">
        <v>18692544.082042485</v>
      </c>
      <c r="G38" s="126">
        <v>439.89999999999992</v>
      </c>
      <c r="H38" s="126">
        <v>0</v>
      </c>
      <c r="I38" s="124">
        <f t="shared" si="7"/>
        <v>327.48000000000008</v>
      </c>
      <c r="J38" s="124">
        <f t="shared" si="7"/>
        <v>0</v>
      </c>
      <c r="K38" s="30">
        <v>31</v>
      </c>
      <c r="L38" s="30">
        <v>273</v>
      </c>
      <c r="M38" s="30">
        <v>3073.7</v>
      </c>
      <c r="N38" s="30">
        <v>0</v>
      </c>
      <c r="O38" s="30">
        <f t="shared" si="8"/>
        <v>18108143.208880391</v>
      </c>
      <c r="P38" s="30">
        <f t="shared" si="3"/>
        <v>17763466.036837909</v>
      </c>
      <c r="Q38" s="49">
        <f t="shared" si="4"/>
        <v>-584400.8731620945</v>
      </c>
      <c r="R38" s="48">
        <f t="shared" si="5"/>
        <v>3.1263848869213878E-2</v>
      </c>
      <c r="W38" s="79"/>
      <c r="AC38" s="79"/>
      <c r="AD38" s="5"/>
      <c r="AE38" s="5"/>
      <c r="AH38" s="2"/>
      <c r="AL38" s="2"/>
      <c r="AM38" s="72"/>
      <c r="AO38" s="5"/>
      <c r="AP38" s="2"/>
      <c r="AQ38" s="72"/>
      <c r="AR38" s="5"/>
      <c r="AS38" s="5"/>
      <c r="AT38" s="28"/>
      <c r="AU38" s="28"/>
      <c r="AV38" s="28"/>
    </row>
    <row r="39" spans="1:49" x14ac:dyDescent="0.2">
      <c r="A39" s="2">
        <v>41640</v>
      </c>
      <c r="B39">
        <f t="shared" si="1"/>
        <v>2014</v>
      </c>
      <c r="C39">
        <f t="shared" si="2"/>
        <v>1</v>
      </c>
      <c r="D39" s="54">
        <v>18474770.990000002</v>
      </c>
      <c r="E39" s="54">
        <v>480728.51896375552</v>
      </c>
      <c r="F39" s="54">
        <v>18955499.508963756</v>
      </c>
      <c r="G39" s="126">
        <v>577.90000000000009</v>
      </c>
      <c r="H39" s="126">
        <v>0</v>
      </c>
      <c r="I39" s="124">
        <f t="shared" si="7"/>
        <v>439.5</v>
      </c>
      <c r="J39" s="124">
        <f t="shared" si="7"/>
        <v>0</v>
      </c>
      <c r="K39" s="30">
        <v>31</v>
      </c>
      <c r="L39" s="30">
        <v>274</v>
      </c>
      <c r="M39" s="30">
        <v>3070.8</v>
      </c>
      <c r="N39" s="30">
        <v>0</v>
      </c>
      <c r="O39" s="30">
        <f t="shared" si="8"/>
        <v>18236044.955987118</v>
      </c>
      <c r="P39" s="30">
        <f t="shared" si="3"/>
        <v>17755316.437023364</v>
      </c>
      <c r="Q39" s="49">
        <f t="shared" si="4"/>
        <v>-719454.55297663808</v>
      </c>
      <c r="R39" s="48">
        <f t="shared" si="5"/>
        <v>3.7954924513406749E-2</v>
      </c>
      <c r="W39" s="79"/>
      <c r="AC39" s="2"/>
      <c r="AD39" s="5"/>
      <c r="AE39" s="5"/>
      <c r="AH39" s="2"/>
      <c r="AL39" s="2"/>
      <c r="AM39" s="72"/>
      <c r="AO39" s="5"/>
      <c r="AP39" s="2"/>
      <c r="AQ39" s="72"/>
      <c r="AR39" s="5"/>
      <c r="AS39" s="5"/>
      <c r="AT39" s="28"/>
      <c r="AU39" s="28"/>
      <c r="AV39" s="28"/>
    </row>
    <row r="40" spans="1:49" x14ac:dyDescent="0.2">
      <c r="A40" s="2">
        <v>41671</v>
      </c>
      <c r="B40">
        <f t="shared" si="1"/>
        <v>2014</v>
      </c>
      <c r="C40">
        <f t="shared" si="2"/>
        <v>2</v>
      </c>
      <c r="D40" s="54">
        <v>17309349.019999996</v>
      </c>
      <c r="E40" s="54">
        <v>480728.51896375552</v>
      </c>
      <c r="F40" s="54">
        <v>17790077.53896375</v>
      </c>
      <c r="G40" s="126">
        <v>513.09999999999991</v>
      </c>
      <c r="H40" s="126">
        <v>0</v>
      </c>
      <c r="I40" s="124">
        <f t="shared" si="7"/>
        <v>403.5</v>
      </c>
      <c r="J40" s="124">
        <f t="shared" si="7"/>
        <v>0</v>
      </c>
      <c r="K40" s="30">
        <v>28</v>
      </c>
      <c r="L40" s="30">
        <v>274</v>
      </c>
      <c r="M40" s="30">
        <v>3071.7</v>
      </c>
      <c r="N40" s="30">
        <v>0</v>
      </c>
      <c r="O40" s="30">
        <f t="shared" si="8"/>
        <v>17220336.072155662</v>
      </c>
      <c r="P40" s="30">
        <f t="shared" si="3"/>
        <v>16739607.553191906</v>
      </c>
      <c r="Q40" s="49">
        <f t="shared" si="4"/>
        <v>-569741.46680808812</v>
      </c>
      <c r="R40" s="48">
        <f t="shared" si="5"/>
        <v>3.2025800087731086E-2</v>
      </c>
      <c r="W40" s="79"/>
      <c r="AC40" s="2"/>
      <c r="AD40" s="5"/>
      <c r="AE40" s="5"/>
      <c r="AH40" s="2"/>
      <c r="AL40" s="2"/>
      <c r="AM40" s="72"/>
      <c r="AO40" s="5"/>
      <c r="AP40" s="2"/>
      <c r="AQ40" s="72"/>
      <c r="AR40" s="5"/>
      <c r="AS40" s="5"/>
      <c r="AT40" s="28"/>
      <c r="AU40" s="28"/>
      <c r="AV40" s="28"/>
    </row>
    <row r="41" spans="1:49" x14ac:dyDescent="0.2">
      <c r="A41" s="2">
        <v>41699</v>
      </c>
      <c r="B41">
        <f t="shared" si="1"/>
        <v>2014</v>
      </c>
      <c r="C41">
        <f t="shared" si="2"/>
        <v>3</v>
      </c>
      <c r="D41" s="54">
        <v>18435424.780000001</v>
      </c>
      <c r="E41" s="54">
        <v>480728.51896375552</v>
      </c>
      <c r="F41" s="54">
        <v>18916153.298963755</v>
      </c>
      <c r="G41" s="126">
        <v>442.59999999999991</v>
      </c>
      <c r="H41" s="126">
        <v>0</v>
      </c>
      <c r="I41" s="124">
        <f t="shared" si="7"/>
        <v>291.06</v>
      </c>
      <c r="J41" s="124">
        <f t="shared" si="7"/>
        <v>2.8099999999999996</v>
      </c>
      <c r="K41" s="30">
        <v>31</v>
      </c>
      <c r="L41" s="30">
        <v>275</v>
      </c>
      <c r="M41" s="30">
        <v>3074.2</v>
      </c>
      <c r="N41" s="30">
        <v>0</v>
      </c>
      <c r="O41" s="30">
        <f t="shared" si="8"/>
        <v>18147017.124616843</v>
      </c>
      <c r="P41" s="30">
        <f t="shared" si="3"/>
        <v>17666288.605653089</v>
      </c>
      <c r="Q41" s="49">
        <f t="shared" si="4"/>
        <v>-769136.17434691265</v>
      </c>
      <c r="R41" s="48">
        <f t="shared" si="5"/>
        <v>4.0660284477026659E-2</v>
      </c>
      <c r="AC41" s="2"/>
      <c r="AD41" s="5"/>
      <c r="AE41" s="5"/>
      <c r="AH41" s="2"/>
      <c r="AL41" s="2"/>
      <c r="AM41" s="72"/>
      <c r="AO41" s="5"/>
      <c r="AP41" s="2"/>
      <c r="AQ41" s="72"/>
      <c r="AR41" s="5"/>
      <c r="AS41" s="5"/>
      <c r="AT41" s="28"/>
      <c r="AU41" s="28"/>
      <c r="AV41" s="28"/>
    </row>
    <row r="42" spans="1:49" x14ac:dyDescent="0.2">
      <c r="A42" s="2">
        <v>41730</v>
      </c>
      <c r="B42">
        <f t="shared" si="1"/>
        <v>2014</v>
      </c>
      <c r="C42">
        <f t="shared" si="2"/>
        <v>4</v>
      </c>
      <c r="D42" s="54">
        <v>16625533.470000004</v>
      </c>
      <c r="E42" s="54">
        <v>480728.51896375552</v>
      </c>
      <c r="F42" s="54">
        <v>17106261.98896376</v>
      </c>
      <c r="G42" s="126">
        <v>126.49999999999997</v>
      </c>
      <c r="H42" s="126">
        <v>2.5999999999999996</v>
      </c>
      <c r="I42" s="124">
        <f t="shared" si="7"/>
        <v>120.71999999999998</v>
      </c>
      <c r="J42" s="124">
        <f t="shared" si="7"/>
        <v>6.58</v>
      </c>
      <c r="K42" s="30">
        <v>30</v>
      </c>
      <c r="L42" s="30">
        <v>276</v>
      </c>
      <c r="M42" s="30">
        <v>3082.6</v>
      </c>
      <c r="N42" s="30">
        <v>0</v>
      </c>
      <c r="O42" s="30">
        <f t="shared" si="8"/>
        <v>17102595.260996871</v>
      </c>
      <c r="P42" s="30">
        <f t="shared" si="3"/>
        <v>16621866.742033115</v>
      </c>
      <c r="Q42" s="49">
        <f t="shared" si="4"/>
        <v>-3666.727966889739</v>
      </c>
      <c r="R42" s="48">
        <f t="shared" si="5"/>
        <v>2.143500414792757E-4</v>
      </c>
      <c r="AC42" s="2"/>
      <c r="AD42" s="5"/>
      <c r="AE42" s="5"/>
      <c r="AH42" s="2"/>
      <c r="AL42" s="2"/>
      <c r="AM42" s="72"/>
      <c r="AO42" s="5"/>
      <c r="AP42" s="2"/>
      <c r="AQ42" s="72"/>
      <c r="AR42" s="5"/>
      <c r="AS42" s="5"/>
      <c r="AT42" s="28"/>
      <c r="AU42" s="28"/>
      <c r="AV42" s="28"/>
    </row>
    <row r="43" spans="1:49" x14ac:dyDescent="0.2">
      <c r="A43" s="2">
        <v>41760</v>
      </c>
      <c r="B43">
        <f t="shared" si="1"/>
        <v>2014</v>
      </c>
      <c r="C43">
        <f t="shared" si="2"/>
        <v>5</v>
      </c>
      <c r="D43" s="54">
        <v>16304922.880000003</v>
      </c>
      <c r="E43" s="54">
        <v>480728.51896375552</v>
      </c>
      <c r="F43" s="54">
        <v>16785651.398963757</v>
      </c>
      <c r="G43" s="126">
        <v>7.2000000000000011</v>
      </c>
      <c r="H43" s="126">
        <v>92</v>
      </c>
      <c r="I43" s="124">
        <f t="shared" si="7"/>
        <v>16.330000000000002</v>
      </c>
      <c r="J43" s="124">
        <f t="shared" si="7"/>
        <v>107.25</v>
      </c>
      <c r="K43" s="30">
        <v>31</v>
      </c>
      <c r="L43" s="30">
        <v>278</v>
      </c>
      <c r="M43" s="30">
        <v>3070.2</v>
      </c>
      <c r="N43" s="30">
        <v>0</v>
      </c>
      <c r="O43" s="30">
        <f t="shared" si="8"/>
        <v>16934191.12323276</v>
      </c>
      <c r="P43" s="30">
        <f t="shared" si="3"/>
        <v>16453462.604269003</v>
      </c>
      <c r="Q43" s="49">
        <f t="shared" si="4"/>
        <v>148539.72426900268</v>
      </c>
      <c r="R43" s="48">
        <f t="shared" si="5"/>
        <v>8.8492082159035302E-3</v>
      </c>
      <c r="AC43" s="2"/>
      <c r="AD43" s="5"/>
      <c r="AE43" s="5"/>
      <c r="AH43" s="2"/>
      <c r="AL43" s="2"/>
      <c r="AM43" s="72"/>
      <c r="AO43" s="5"/>
      <c r="AP43" s="2"/>
      <c r="AQ43" s="72"/>
      <c r="AR43" s="5"/>
      <c r="AS43" s="5"/>
      <c r="AT43" s="28"/>
      <c r="AU43" s="28"/>
      <c r="AV43" s="28"/>
    </row>
    <row r="44" spans="1:49" x14ac:dyDescent="0.2">
      <c r="A44" s="2">
        <v>41791</v>
      </c>
      <c r="B44">
        <f t="shared" si="1"/>
        <v>2014</v>
      </c>
      <c r="C44">
        <f t="shared" si="2"/>
        <v>6</v>
      </c>
      <c r="D44" s="54">
        <v>16672277.809999999</v>
      </c>
      <c r="E44" s="54">
        <v>480728.51896375552</v>
      </c>
      <c r="F44" s="54">
        <v>17153006.328963753</v>
      </c>
      <c r="G44" s="126">
        <v>0</v>
      </c>
      <c r="H44" s="126">
        <v>234</v>
      </c>
      <c r="I44" s="124">
        <f t="shared" si="7"/>
        <v>0</v>
      </c>
      <c r="J44" s="124">
        <f t="shared" si="7"/>
        <v>230.10000000000005</v>
      </c>
      <c r="K44" s="30">
        <v>30</v>
      </c>
      <c r="L44" s="30">
        <v>279</v>
      </c>
      <c r="M44" s="30">
        <v>3046.3</v>
      </c>
      <c r="N44" s="30">
        <v>0</v>
      </c>
      <c r="O44" s="30">
        <f t="shared" si="8"/>
        <v>17127156.720651615</v>
      </c>
      <c r="P44" s="30">
        <f t="shared" si="3"/>
        <v>16646428.201687859</v>
      </c>
      <c r="Q44" s="49">
        <f t="shared" si="4"/>
        <v>-25849.608312137425</v>
      </c>
      <c r="R44" s="48">
        <f t="shared" si="5"/>
        <v>1.5070016192140618E-3</v>
      </c>
      <c r="AB44" s="79"/>
      <c r="AC44" s="2"/>
      <c r="AD44" s="5"/>
      <c r="AE44" s="5"/>
      <c r="AH44" s="2"/>
      <c r="AL44" s="2"/>
      <c r="AM44" s="72"/>
      <c r="AO44" s="5"/>
      <c r="AP44" s="2"/>
      <c r="AQ44" s="72"/>
      <c r="AR44" s="5"/>
      <c r="AS44" s="5"/>
      <c r="AT44" s="28"/>
      <c r="AU44" s="28"/>
      <c r="AV44" s="28"/>
    </row>
    <row r="45" spans="1:49" x14ac:dyDescent="0.2">
      <c r="A45" s="2">
        <v>41821</v>
      </c>
      <c r="B45">
        <f t="shared" si="1"/>
        <v>2014</v>
      </c>
      <c r="C45">
        <f t="shared" si="2"/>
        <v>7</v>
      </c>
      <c r="D45" s="54">
        <v>16686928.109999999</v>
      </c>
      <c r="E45" s="54">
        <v>480728.51896375552</v>
      </c>
      <c r="F45" s="54">
        <v>17167656.628963754</v>
      </c>
      <c r="G45" s="126">
        <v>0</v>
      </c>
      <c r="H45" s="126">
        <v>253</v>
      </c>
      <c r="I45" s="124">
        <f t="shared" si="7"/>
        <v>0</v>
      </c>
      <c r="J45" s="124">
        <f t="shared" si="7"/>
        <v>331.41</v>
      </c>
      <c r="K45" s="30">
        <v>31</v>
      </c>
      <c r="L45" s="30">
        <v>282</v>
      </c>
      <c r="M45" s="30">
        <v>3021.9</v>
      </c>
      <c r="N45" s="30">
        <v>0</v>
      </c>
      <c r="O45" s="30">
        <f t="shared" si="8"/>
        <v>17687366.318131611</v>
      </c>
      <c r="P45" s="30">
        <f t="shared" si="3"/>
        <v>17206637.799167857</v>
      </c>
      <c r="Q45" s="49">
        <f t="shared" si="4"/>
        <v>519709.68916785717</v>
      </c>
      <c r="R45" s="48">
        <f t="shared" si="5"/>
        <v>3.0272605073603867E-2</v>
      </c>
      <c r="V45" s="79"/>
      <c r="AC45" s="2"/>
      <c r="AD45" s="5"/>
      <c r="AE45" s="5"/>
      <c r="AH45" s="2"/>
      <c r="AL45" s="2"/>
      <c r="AM45" s="72"/>
      <c r="AO45" s="5"/>
      <c r="AP45" s="2"/>
      <c r="AQ45" s="72"/>
      <c r="AR45" s="5"/>
      <c r="AS45" s="5"/>
      <c r="AT45" s="28"/>
      <c r="AU45" s="28"/>
      <c r="AV45" s="28"/>
    </row>
    <row r="46" spans="1:49" x14ac:dyDescent="0.2">
      <c r="A46" s="2">
        <v>41852</v>
      </c>
      <c r="B46">
        <f t="shared" si="1"/>
        <v>2014</v>
      </c>
      <c r="C46">
        <f t="shared" si="2"/>
        <v>8</v>
      </c>
      <c r="D46" s="54">
        <v>16611492.549999997</v>
      </c>
      <c r="E46" s="54">
        <v>480728.51896375552</v>
      </c>
      <c r="F46" s="54">
        <v>17092221.068963751</v>
      </c>
      <c r="G46" s="126">
        <v>0</v>
      </c>
      <c r="H46" s="126">
        <v>259</v>
      </c>
      <c r="I46" s="124">
        <f t="shared" si="7"/>
        <v>0</v>
      </c>
      <c r="J46" s="124">
        <f t="shared" si="7"/>
        <v>304.46000000000004</v>
      </c>
      <c r="K46" s="30">
        <v>31</v>
      </c>
      <c r="L46" s="30">
        <v>283</v>
      </c>
      <c r="M46" s="30">
        <v>3010.9</v>
      </c>
      <c r="N46" s="30">
        <v>0</v>
      </c>
      <c r="O46" s="30">
        <f t="shared" si="8"/>
        <v>17393534.708417531</v>
      </c>
      <c r="P46" s="30">
        <f t="shared" si="3"/>
        <v>16912806.189453777</v>
      </c>
      <c r="Q46" s="49">
        <f t="shared" si="4"/>
        <v>301313.63945377991</v>
      </c>
      <c r="R46" s="48">
        <f t="shared" si="5"/>
        <v>1.7628700110888962E-2</v>
      </c>
      <c r="V46" s="79"/>
      <c r="AC46" s="2"/>
      <c r="AD46" s="5"/>
      <c r="AE46" s="5"/>
      <c r="AH46" s="2"/>
      <c r="AL46" s="2"/>
      <c r="AM46" s="72"/>
      <c r="AO46" s="5"/>
      <c r="AP46" s="2"/>
      <c r="AQ46" s="72"/>
      <c r="AR46" s="5"/>
      <c r="AS46" s="5"/>
      <c r="AT46" s="28"/>
      <c r="AU46" s="28"/>
      <c r="AV46" s="28"/>
      <c r="AW46" s="28"/>
    </row>
    <row r="47" spans="1:49" x14ac:dyDescent="0.2">
      <c r="A47" s="2">
        <v>41883</v>
      </c>
      <c r="B47">
        <f t="shared" si="1"/>
        <v>2014</v>
      </c>
      <c r="C47">
        <f t="shared" si="2"/>
        <v>9</v>
      </c>
      <c r="D47" s="54">
        <v>16361292.15</v>
      </c>
      <c r="E47" s="54">
        <v>480728.51896375552</v>
      </c>
      <c r="F47" s="54">
        <v>16842020.668963756</v>
      </c>
      <c r="G47" s="126">
        <v>0.79999999999999893</v>
      </c>
      <c r="H47" s="126">
        <v>148.69999999999999</v>
      </c>
      <c r="I47" s="124">
        <f t="shared" si="7"/>
        <v>0.24999999999999983</v>
      </c>
      <c r="J47" s="124">
        <f t="shared" si="7"/>
        <v>176.51</v>
      </c>
      <c r="K47" s="30">
        <v>30</v>
      </c>
      <c r="L47" s="30">
        <v>283</v>
      </c>
      <c r="M47" s="30">
        <v>3013.7</v>
      </c>
      <c r="N47" s="30">
        <v>0</v>
      </c>
      <c r="O47" s="30">
        <f t="shared" si="8"/>
        <v>17023489.156467244</v>
      </c>
      <c r="P47" s="30">
        <f t="shared" si="3"/>
        <v>16542760.637503488</v>
      </c>
      <c r="Q47" s="49">
        <f t="shared" si="4"/>
        <v>181468.48750348762</v>
      </c>
      <c r="R47" s="48">
        <f t="shared" si="5"/>
        <v>1.0774745564699088E-2</v>
      </c>
      <c r="AC47" s="2"/>
      <c r="AD47" s="5"/>
      <c r="AE47" s="5"/>
      <c r="AH47" s="2"/>
      <c r="AL47" s="2"/>
      <c r="AM47" s="72"/>
      <c r="AO47" s="5"/>
      <c r="AP47" s="2"/>
      <c r="AQ47" s="57"/>
      <c r="AR47" s="5"/>
      <c r="AS47" s="5"/>
      <c r="AT47" s="28"/>
      <c r="AU47" s="28"/>
      <c r="AV47" s="28"/>
    </row>
    <row r="48" spans="1:49" x14ac:dyDescent="0.2">
      <c r="A48" s="2">
        <v>41913</v>
      </c>
      <c r="B48">
        <f t="shared" si="1"/>
        <v>2014</v>
      </c>
      <c r="C48">
        <f t="shared" si="2"/>
        <v>10</v>
      </c>
      <c r="D48" s="54">
        <v>16487938.609999999</v>
      </c>
      <c r="E48" s="54">
        <v>480728.51896375552</v>
      </c>
      <c r="F48" s="54">
        <v>16968667.128963754</v>
      </c>
      <c r="G48" s="126">
        <v>36.099999999999994</v>
      </c>
      <c r="H48" s="126">
        <v>38.1</v>
      </c>
      <c r="I48" s="124">
        <f t="shared" ref="I48:J63" si="9">I36</f>
        <v>44.309999999999995</v>
      </c>
      <c r="J48" s="124">
        <f t="shared" si="9"/>
        <v>43.36</v>
      </c>
      <c r="K48" s="30">
        <v>31</v>
      </c>
      <c r="L48" s="30">
        <v>282</v>
      </c>
      <c r="M48" s="30">
        <v>3027.3</v>
      </c>
      <c r="N48" s="30">
        <v>0</v>
      </c>
      <c r="O48" s="30">
        <f t="shared" si="8"/>
        <v>17046209.585961793</v>
      </c>
      <c r="P48" s="30">
        <f t="shared" si="3"/>
        <v>16565481.066998037</v>
      </c>
      <c r="Q48" s="49">
        <f t="shared" si="4"/>
        <v>77542.456998039037</v>
      </c>
      <c r="R48" s="48">
        <f t="shared" si="5"/>
        <v>4.5697435401795411E-3</v>
      </c>
      <c r="AC48" s="2"/>
      <c r="AD48" s="5"/>
      <c r="AE48" s="5"/>
      <c r="AH48" s="2"/>
      <c r="AL48" s="2"/>
      <c r="AM48" s="72"/>
      <c r="AO48" s="5"/>
      <c r="AP48" s="2"/>
      <c r="AQ48" s="72"/>
      <c r="AR48" s="5"/>
      <c r="AS48" s="5"/>
      <c r="AT48" s="28"/>
      <c r="AU48" s="28"/>
      <c r="AV48" s="28"/>
    </row>
    <row r="49" spans="1:48" x14ac:dyDescent="0.2">
      <c r="A49" s="2">
        <v>41944</v>
      </c>
      <c r="B49">
        <f t="shared" si="1"/>
        <v>2014</v>
      </c>
      <c r="C49">
        <f t="shared" si="2"/>
        <v>11</v>
      </c>
      <c r="D49" s="54">
        <v>17004284.760000002</v>
      </c>
      <c r="E49" s="54">
        <v>480728.51896375552</v>
      </c>
      <c r="F49" s="54">
        <v>17485013.278963756</v>
      </c>
      <c r="G49" s="126">
        <v>244.20000000000002</v>
      </c>
      <c r="H49" s="126">
        <v>0</v>
      </c>
      <c r="I49" s="124">
        <f t="shared" si="9"/>
        <v>193.95999999999998</v>
      </c>
      <c r="J49" s="124">
        <f t="shared" si="9"/>
        <v>2.7399999999999998</v>
      </c>
      <c r="K49" s="30">
        <v>30</v>
      </c>
      <c r="L49" s="30">
        <v>284</v>
      </c>
      <c r="M49" s="30">
        <v>3036.7</v>
      </c>
      <c r="N49" s="30">
        <v>0</v>
      </c>
      <c r="O49" s="30">
        <f t="shared" si="8"/>
        <v>17242008.124401845</v>
      </c>
      <c r="P49" s="30">
        <f t="shared" si="3"/>
        <v>16761279.605438089</v>
      </c>
      <c r="Q49" s="49">
        <f t="shared" si="4"/>
        <v>-243005.15456191078</v>
      </c>
      <c r="R49" s="48">
        <f t="shared" si="5"/>
        <v>1.389791078135872E-2</v>
      </c>
      <c r="AC49" s="2"/>
      <c r="AD49" s="5"/>
      <c r="AE49" s="5"/>
      <c r="AH49" s="2"/>
      <c r="AL49" s="2"/>
      <c r="AM49" s="72"/>
      <c r="AO49" s="5"/>
      <c r="AP49" s="2"/>
      <c r="AQ49" s="72"/>
      <c r="AR49" s="5"/>
      <c r="AS49" s="5"/>
      <c r="AT49" s="28"/>
      <c r="AU49" s="28"/>
      <c r="AV49" s="28"/>
    </row>
    <row r="50" spans="1:48" x14ac:dyDescent="0.2">
      <c r="A50" s="2">
        <v>41974</v>
      </c>
      <c r="B50">
        <f t="shared" si="1"/>
        <v>2014</v>
      </c>
      <c r="C50">
        <f t="shared" si="2"/>
        <v>12</v>
      </c>
      <c r="D50" s="54">
        <v>17950454.600000001</v>
      </c>
      <c r="E50" s="54">
        <v>480728.51896375552</v>
      </c>
      <c r="F50" s="54">
        <v>18431183.118963756</v>
      </c>
      <c r="G50" s="126">
        <v>309.30000000000007</v>
      </c>
      <c r="H50" s="126">
        <v>0</v>
      </c>
      <c r="I50" s="124">
        <f t="shared" si="9"/>
        <v>327.48000000000008</v>
      </c>
      <c r="J50" s="124">
        <f t="shared" si="9"/>
        <v>0</v>
      </c>
      <c r="K50" s="30">
        <v>31</v>
      </c>
      <c r="L50" s="30">
        <v>284</v>
      </c>
      <c r="M50" s="30">
        <v>3034.6</v>
      </c>
      <c r="N50" s="30">
        <v>0</v>
      </c>
      <c r="O50" s="30">
        <f t="shared" si="8"/>
        <v>18525689.504607651</v>
      </c>
      <c r="P50" s="30">
        <f t="shared" si="3"/>
        <v>18044960.985643897</v>
      </c>
      <c r="Q50" s="49">
        <f t="shared" si="4"/>
        <v>94506.385643895715</v>
      </c>
      <c r="R50" s="48">
        <f t="shared" si="5"/>
        <v>5.1275268133307485E-3</v>
      </c>
      <c r="AC50" s="2"/>
      <c r="AD50" s="5"/>
      <c r="AE50" s="5"/>
      <c r="AH50" s="2"/>
      <c r="AL50" s="2"/>
      <c r="AM50" s="72"/>
      <c r="AO50" s="5"/>
      <c r="AP50" s="2"/>
      <c r="AQ50" s="72"/>
      <c r="AR50" s="5"/>
      <c r="AS50" s="5"/>
      <c r="AT50" s="28"/>
      <c r="AU50" s="28"/>
      <c r="AV50" s="28"/>
    </row>
    <row r="51" spans="1:48" x14ac:dyDescent="0.2">
      <c r="A51" s="2">
        <v>42005</v>
      </c>
      <c r="B51">
        <f t="shared" si="1"/>
        <v>2015</v>
      </c>
      <c r="C51">
        <f t="shared" si="2"/>
        <v>1</v>
      </c>
      <c r="D51" s="54">
        <v>18875685.754216857</v>
      </c>
      <c r="E51" s="54">
        <v>555044.66445330705</v>
      </c>
      <c r="F51" s="54">
        <v>19430730.418670163</v>
      </c>
      <c r="G51" s="126">
        <v>544.4</v>
      </c>
      <c r="H51" s="126">
        <v>0</v>
      </c>
      <c r="I51" s="124">
        <f t="shared" si="9"/>
        <v>439.5</v>
      </c>
      <c r="J51" s="124">
        <f t="shared" si="9"/>
        <v>0</v>
      </c>
      <c r="K51" s="30">
        <v>31</v>
      </c>
      <c r="L51" s="30">
        <v>286</v>
      </c>
      <c r="M51" s="30">
        <v>3029.1</v>
      </c>
      <c r="N51" s="30">
        <v>0</v>
      </c>
      <c r="O51" s="30">
        <f t="shared" si="8"/>
        <v>18885421.295785412</v>
      </c>
      <c r="P51" s="30">
        <f t="shared" si="3"/>
        <v>18330376.631332107</v>
      </c>
      <c r="Q51" s="49">
        <f t="shared" si="4"/>
        <v>-545309.12288475037</v>
      </c>
      <c r="R51" s="48">
        <f t="shared" si="5"/>
        <v>2.8064262698060286E-2</v>
      </c>
      <c r="AC51" s="2"/>
      <c r="AD51" s="5"/>
      <c r="AE51" s="5"/>
      <c r="AH51" s="2"/>
      <c r="AL51" s="2"/>
      <c r="AM51" s="72"/>
      <c r="AO51" s="5"/>
      <c r="AP51" s="2"/>
      <c r="AQ51" s="72"/>
      <c r="AR51" s="5"/>
      <c r="AS51" s="5"/>
      <c r="AT51" s="28"/>
      <c r="AU51" s="28"/>
      <c r="AV51" s="28"/>
    </row>
    <row r="52" spans="1:48" x14ac:dyDescent="0.2">
      <c r="A52" s="2">
        <v>42036</v>
      </c>
      <c r="B52">
        <f t="shared" si="1"/>
        <v>2015</v>
      </c>
      <c r="C52">
        <f t="shared" si="2"/>
        <v>2</v>
      </c>
      <c r="D52" s="54">
        <v>17783706.236144584</v>
      </c>
      <c r="E52" s="54">
        <v>555044.66445330705</v>
      </c>
      <c r="F52" s="54">
        <v>18338750.900597889</v>
      </c>
      <c r="G52" s="126">
        <v>632.80000000000007</v>
      </c>
      <c r="H52" s="126">
        <v>0</v>
      </c>
      <c r="I52" s="124">
        <f t="shared" si="9"/>
        <v>403.5</v>
      </c>
      <c r="J52" s="124">
        <f t="shared" si="9"/>
        <v>0</v>
      </c>
      <c r="K52" s="30">
        <v>28</v>
      </c>
      <c r="L52" s="30">
        <v>287</v>
      </c>
      <c r="M52" s="30">
        <v>3035.1</v>
      </c>
      <c r="N52" s="30">
        <v>0</v>
      </c>
      <c r="O52" s="30">
        <f t="shared" si="8"/>
        <v>17146764.419401765</v>
      </c>
      <c r="P52" s="30">
        <f t="shared" si="3"/>
        <v>16591719.754948458</v>
      </c>
      <c r="Q52" s="49">
        <f t="shared" si="4"/>
        <v>-1191986.4811961241</v>
      </c>
      <c r="R52" s="48">
        <f t="shared" si="5"/>
        <v>6.4998237211306598E-2</v>
      </c>
      <c r="AC52" s="2"/>
      <c r="AD52" s="5"/>
      <c r="AE52" s="5"/>
      <c r="AH52" s="2"/>
      <c r="AL52" s="2"/>
      <c r="AM52" s="72"/>
      <c r="AO52" s="5"/>
      <c r="AP52" s="2"/>
      <c r="AQ52" s="72"/>
      <c r="AR52" s="5"/>
      <c r="AS52" s="5"/>
      <c r="AT52" s="28"/>
      <c r="AU52" s="28"/>
      <c r="AV52" s="28"/>
    </row>
    <row r="53" spans="1:48" x14ac:dyDescent="0.2">
      <c r="A53" s="2">
        <v>42064</v>
      </c>
      <c r="B53">
        <f t="shared" si="1"/>
        <v>2015</v>
      </c>
      <c r="C53">
        <f t="shared" si="2"/>
        <v>3</v>
      </c>
      <c r="D53" s="54">
        <v>18252320.722891562</v>
      </c>
      <c r="E53" s="54">
        <v>555044.66445330705</v>
      </c>
      <c r="F53" s="54">
        <v>18807365.387344867</v>
      </c>
      <c r="G53" s="126">
        <v>367.49999999999994</v>
      </c>
      <c r="H53" s="126">
        <v>0</v>
      </c>
      <c r="I53" s="124">
        <f t="shared" si="9"/>
        <v>291.06</v>
      </c>
      <c r="J53" s="124">
        <f t="shared" si="9"/>
        <v>2.8099999999999996</v>
      </c>
      <c r="K53" s="30">
        <v>31</v>
      </c>
      <c r="L53" s="30">
        <v>288</v>
      </c>
      <c r="M53" s="30">
        <v>3054.2</v>
      </c>
      <c r="N53" s="30">
        <v>0</v>
      </c>
      <c r="O53" s="30">
        <f t="shared" si="8"/>
        <v>18428626.878666639</v>
      </c>
      <c r="P53" s="30">
        <f t="shared" si="3"/>
        <v>17873582.214213334</v>
      </c>
      <c r="Q53" s="49">
        <f t="shared" si="4"/>
        <v>-378738.50867822766</v>
      </c>
      <c r="R53" s="48">
        <f t="shared" si="5"/>
        <v>2.0137775859508419E-2</v>
      </c>
      <c r="AC53" s="2"/>
      <c r="AD53" s="5"/>
      <c r="AE53" s="5"/>
      <c r="AH53" s="2"/>
      <c r="AL53" s="2"/>
      <c r="AM53" s="72"/>
      <c r="AO53" s="5"/>
      <c r="AP53" s="2"/>
      <c r="AQ53" s="72"/>
      <c r="AR53" s="5"/>
      <c r="AS53" s="5"/>
      <c r="AT53" s="28"/>
      <c r="AU53" s="28"/>
      <c r="AV53" s="28"/>
    </row>
    <row r="54" spans="1:48" x14ac:dyDescent="0.2">
      <c r="A54" s="2">
        <v>42095</v>
      </c>
      <c r="B54">
        <f t="shared" si="1"/>
        <v>2015</v>
      </c>
      <c r="C54">
        <f t="shared" si="2"/>
        <v>4</v>
      </c>
      <c r="D54" s="54">
        <v>16479411.932530126</v>
      </c>
      <c r="E54" s="54">
        <v>555044.66445330705</v>
      </c>
      <c r="F54" s="54">
        <v>17034456.596983433</v>
      </c>
      <c r="G54" s="126">
        <v>94.399999999999991</v>
      </c>
      <c r="H54" s="126">
        <v>7.1999999999999993</v>
      </c>
      <c r="I54" s="124">
        <f t="shared" si="9"/>
        <v>120.71999999999998</v>
      </c>
      <c r="J54" s="124">
        <f t="shared" si="9"/>
        <v>6.58</v>
      </c>
      <c r="K54" s="30">
        <v>30</v>
      </c>
      <c r="L54" s="30">
        <v>290</v>
      </c>
      <c r="M54" s="30">
        <v>3066.7</v>
      </c>
      <c r="N54" s="30">
        <v>0</v>
      </c>
      <c r="O54" s="30">
        <f t="shared" si="8"/>
        <v>17167168.298042975</v>
      </c>
      <c r="P54" s="30">
        <f t="shared" si="3"/>
        <v>16612123.633589668</v>
      </c>
      <c r="Q54" s="49">
        <f t="shared" si="4"/>
        <v>132711.7010595426</v>
      </c>
      <c r="R54" s="48">
        <f t="shared" si="5"/>
        <v>7.7907798410806958E-3</v>
      </c>
      <c r="AC54" s="2"/>
      <c r="AD54" s="5"/>
      <c r="AE54" s="5"/>
      <c r="AH54" s="2"/>
      <c r="AL54" s="2"/>
      <c r="AM54" s="72"/>
      <c r="AO54" s="5"/>
      <c r="AP54" s="2"/>
      <c r="AQ54" s="72"/>
      <c r="AR54" s="5"/>
      <c r="AS54" s="5"/>
      <c r="AT54" s="28"/>
      <c r="AU54" s="28"/>
      <c r="AV54" s="28"/>
    </row>
    <row r="55" spans="1:48" x14ac:dyDescent="0.2">
      <c r="A55" s="2">
        <v>42125</v>
      </c>
      <c r="B55">
        <f t="shared" si="1"/>
        <v>2015</v>
      </c>
      <c r="C55">
        <f t="shared" si="2"/>
        <v>5</v>
      </c>
      <c r="D55" s="54">
        <v>16982291.479518067</v>
      </c>
      <c r="E55" s="54">
        <v>555044.66445330705</v>
      </c>
      <c r="F55" s="54">
        <v>17537336.143971372</v>
      </c>
      <c r="G55" s="126">
        <v>1.5</v>
      </c>
      <c r="H55" s="126">
        <v>142.1</v>
      </c>
      <c r="I55" s="124">
        <f t="shared" si="9"/>
        <v>16.330000000000002</v>
      </c>
      <c r="J55" s="124">
        <f t="shared" si="9"/>
        <v>107.25</v>
      </c>
      <c r="K55" s="30">
        <v>31</v>
      </c>
      <c r="L55" s="30">
        <v>291</v>
      </c>
      <c r="M55" s="30">
        <v>3084</v>
      </c>
      <c r="N55" s="30">
        <v>0</v>
      </c>
      <c r="O55" s="30">
        <f t="shared" si="8"/>
        <v>17383438.537970703</v>
      </c>
      <c r="P55" s="30">
        <f t="shared" si="3"/>
        <v>16828393.873517398</v>
      </c>
      <c r="Q55" s="49">
        <f t="shared" si="4"/>
        <v>-153897.6060006693</v>
      </c>
      <c r="R55" s="48">
        <f t="shared" si="5"/>
        <v>8.7754265948522103E-3</v>
      </c>
      <c r="AC55" s="2"/>
      <c r="AD55" s="5"/>
      <c r="AE55" s="5"/>
      <c r="AH55" s="2"/>
      <c r="AL55" s="2"/>
      <c r="AM55" s="72"/>
      <c r="AO55" s="5"/>
      <c r="AP55" s="2"/>
      <c r="AQ55" s="72"/>
      <c r="AR55" s="5"/>
      <c r="AS55" s="5"/>
      <c r="AT55" s="28"/>
      <c r="AU55" s="28"/>
      <c r="AV55" s="28"/>
    </row>
    <row r="56" spans="1:48" x14ac:dyDescent="0.2">
      <c r="A56" s="2">
        <v>42156</v>
      </c>
      <c r="B56">
        <f t="shared" si="1"/>
        <v>2015</v>
      </c>
      <c r="C56">
        <f t="shared" si="2"/>
        <v>6</v>
      </c>
      <c r="D56" s="54">
        <v>16646153.06024096</v>
      </c>
      <c r="E56" s="54">
        <v>555044.66445330705</v>
      </c>
      <c r="F56" s="54">
        <v>17201197.724694267</v>
      </c>
      <c r="G56" s="126">
        <v>0</v>
      </c>
      <c r="H56" s="126">
        <v>178.69999999999996</v>
      </c>
      <c r="I56" s="124">
        <f t="shared" si="9"/>
        <v>0</v>
      </c>
      <c r="J56" s="124">
        <f t="shared" si="9"/>
        <v>230.10000000000005</v>
      </c>
      <c r="K56" s="30">
        <v>30</v>
      </c>
      <c r="L56" s="30">
        <v>291</v>
      </c>
      <c r="M56" s="30">
        <v>3102.9</v>
      </c>
      <c r="N56" s="30">
        <v>0</v>
      </c>
      <c r="O56" s="30">
        <f t="shared" si="8"/>
        <v>17541882.306038842</v>
      </c>
      <c r="P56" s="30">
        <f t="shared" si="3"/>
        <v>16986837.641585536</v>
      </c>
      <c r="Q56" s="49">
        <f t="shared" si="4"/>
        <v>340684.58134457469</v>
      </c>
      <c r="R56" s="48">
        <f t="shared" si="5"/>
        <v>1.9805863916992444E-2</v>
      </c>
      <c r="AC56" s="2"/>
      <c r="AD56" s="5"/>
      <c r="AE56" s="5"/>
      <c r="AH56" s="2"/>
      <c r="AL56" s="2"/>
      <c r="AM56" s="72"/>
      <c r="AO56" s="5"/>
      <c r="AP56" s="2"/>
      <c r="AQ56" s="72"/>
      <c r="AR56" s="5"/>
      <c r="AS56" s="5"/>
      <c r="AT56" s="28"/>
      <c r="AU56" s="28"/>
      <c r="AV56" s="28"/>
    </row>
    <row r="57" spans="1:48" x14ac:dyDescent="0.2">
      <c r="A57" s="2">
        <v>42186</v>
      </c>
      <c r="B57">
        <f t="shared" si="1"/>
        <v>2015</v>
      </c>
      <c r="C57">
        <f t="shared" si="2"/>
        <v>7</v>
      </c>
      <c r="D57" s="54">
        <v>17538166.997590359</v>
      </c>
      <c r="E57" s="54">
        <v>555044.66445330705</v>
      </c>
      <c r="F57" s="54">
        <v>18093211.662043665</v>
      </c>
      <c r="G57" s="126">
        <v>0</v>
      </c>
      <c r="H57" s="126">
        <v>296.3</v>
      </c>
      <c r="I57" s="124">
        <f t="shared" si="9"/>
        <v>0</v>
      </c>
      <c r="J57" s="124">
        <f t="shared" si="9"/>
        <v>331.41</v>
      </c>
      <c r="K57" s="30">
        <v>31</v>
      </c>
      <c r="L57" s="30">
        <v>292</v>
      </c>
      <c r="M57" s="30">
        <v>3132</v>
      </c>
      <c r="N57" s="30">
        <v>0</v>
      </c>
      <c r="O57" s="30">
        <f t="shared" si="8"/>
        <v>18325924.417899851</v>
      </c>
      <c r="P57" s="30">
        <f t="shared" si="3"/>
        <v>17770879.753446545</v>
      </c>
      <c r="Q57" s="49">
        <f t="shared" si="4"/>
        <v>232712.75585618615</v>
      </c>
      <c r="R57" s="48">
        <f t="shared" si="5"/>
        <v>1.2861882135849659E-2</v>
      </c>
      <c r="AC57" s="2"/>
      <c r="AD57" s="5"/>
      <c r="AE57" s="5"/>
      <c r="AH57" s="2"/>
      <c r="AL57" s="2"/>
      <c r="AM57" s="72"/>
      <c r="AO57" s="5"/>
      <c r="AP57" s="2"/>
      <c r="AQ57" s="72"/>
      <c r="AR57" s="5"/>
      <c r="AS57" s="5"/>
      <c r="AT57" s="28"/>
      <c r="AU57" s="28"/>
      <c r="AV57" s="28"/>
    </row>
    <row r="58" spans="1:48" x14ac:dyDescent="0.2">
      <c r="A58" s="2">
        <v>42217</v>
      </c>
      <c r="B58">
        <f t="shared" si="1"/>
        <v>2015</v>
      </c>
      <c r="C58">
        <f t="shared" si="2"/>
        <v>8</v>
      </c>
      <c r="D58" s="54">
        <v>17093829.031325299</v>
      </c>
      <c r="E58" s="54">
        <v>555044.66445330705</v>
      </c>
      <c r="F58" s="54">
        <v>17648873.695778605</v>
      </c>
      <c r="G58" s="126">
        <v>0</v>
      </c>
      <c r="H58" s="126">
        <v>270.19999999999993</v>
      </c>
      <c r="I58" s="124">
        <f t="shared" si="9"/>
        <v>0</v>
      </c>
      <c r="J58" s="124">
        <f t="shared" si="9"/>
        <v>304.46000000000004</v>
      </c>
      <c r="K58" s="30">
        <v>31</v>
      </c>
      <c r="L58" s="30">
        <v>292</v>
      </c>
      <c r="M58" s="30">
        <v>3151.5</v>
      </c>
      <c r="N58" s="30">
        <v>0</v>
      </c>
      <c r="O58" s="30">
        <f t="shared" si="8"/>
        <v>17875952.562643684</v>
      </c>
      <c r="P58" s="30">
        <f t="shared" si="3"/>
        <v>17320907.898190379</v>
      </c>
      <c r="Q58" s="49">
        <f t="shared" si="4"/>
        <v>227078.86686507985</v>
      </c>
      <c r="R58" s="48">
        <f t="shared" si="5"/>
        <v>1.2866479231442081E-2</v>
      </c>
      <c r="AC58" s="2"/>
      <c r="AD58" s="5"/>
      <c r="AE58" s="5"/>
      <c r="AH58" s="2"/>
      <c r="AL58" s="2"/>
      <c r="AM58" s="72"/>
      <c r="AO58" s="5"/>
      <c r="AP58" s="2"/>
      <c r="AQ58" s="72"/>
      <c r="AR58" s="5"/>
      <c r="AS58" s="5"/>
      <c r="AT58" s="28"/>
      <c r="AU58" s="28"/>
      <c r="AV58" s="28"/>
    </row>
    <row r="59" spans="1:48" x14ac:dyDescent="0.2">
      <c r="A59" s="2">
        <v>42248</v>
      </c>
      <c r="B59">
        <f t="shared" si="1"/>
        <v>2015</v>
      </c>
      <c r="C59">
        <f t="shared" si="2"/>
        <v>9</v>
      </c>
      <c r="D59" s="54">
        <v>17292395.55662651</v>
      </c>
      <c r="E59" s="54">
        <v>555044.66445330705</v>
      </c>
      <c r="F59" s="54">
        <v>17847440.221079815</v>
      </c>
      <c r="G59" s="126">
        <v>0</v>
      </c>
      <c r="H59" s="126">
        <v>230.8</v>
      </c>
      <c r="I59" s="124">
        <f t="shared" si="9"/>
        <v>0.24999999999999983</v>
      </c>
      <c r="J59" s="124">
        <f t="shared" si="9"/>
        <v>176.51</v>
      </c>
      <c r="K59" s="30">
        <v>30</v>
      </c>
      <c r="L59" s="30">
        <v>292</v>
      </c>
      <c r="M59" s="30">
        <v>3155.1</v>
      </c>
      <c r="N59" s="30">
        <v>0</v>
      </c>
      <c r="O59" s="30">
        <f t="shared" si="8"/>
        <v>17488900.009927358</v>
      </c>
      <c r="P59" s="30">
        <f t="shared" si="3"/>
        <v>16933855.345474053</v>
      </c>
      <c r="Q59" s="49">
        <f t="shared" si="4"/>
        <v>-358540.2111524567</v>
      </c>
      <c r="R59" s="48">
        <f t="shared" si="5"/>
        <v>2.0089167225728021E-2</v>
      </c>
      <c r="AC59" s="2"/>
      <c r="AD59" s="5"/>
      <c r="AE59" s="5"/>
      <c r="AH59" s="2"/>
      <c r="AL59" s="2"/>
      <c r="AM59" s="72"/>
      <c r="AO59" s="5"/>
      <c r="AP59" s="2"/>
      <c r="AQ59" s="72"/>
      <c r="AR59" s="5"/>
      <c r="AS59" s="5"/>
      <c r="AT59" s="28"/>
      <c r="AU59" s="28"/>
      <c r="AV59" s="28"/>
    </row>
    <row r="60" spans="1:48" x14ac:dyDescent="0.2">
      <c r="A60" s="2">
        <v>42278</v>
      </c>
      <c r="B60">
        <f t="shared" si="1"/>
        <v>2015</v>
      </c>
      <c r="C60">
        <f t="shared" si="2"/>
        <v>10</v>
      </c>
      <c r="D60" s="54">
        <v>16272895.431325302</v>
      </c>
      <c r="E60" s="54">
        <v>555044.66445330705</v>
      </c>
      <c r="F60" s="54">
        <v>16827940.095778607</v>
      </c>
      <c r="G60" s="126">
        <v>48.199999999999989</v>
      </c>
      <c r="H60" s="126">
        <v>21.3</v>
      </c>
      <c r="I60" s="124">
        <f t="shared" si="9"/>
        <v>44.309999999999995</v>
      </c>
      <c r="J60" s="124">
        <f t="shared" si="9"/>
        <v>43.36</v>
      </c>
      <c r="K60" s="30">
        <v>31</v>
      </c>
      <c r="L60" s="30">
        <v>292</v>
      </c>
      <c r="M60" s="30">
        <v>3149.2</v>
      </c>
      <c r="N60" s="30">
        <v>0</v>
      </c>
      <c r="O60" s="30">
        <f t="shared" si="8"/>
        <v>16953934.421984717</v>
      </c>
      <c r="P60" s="30">
        <f t="shared" si="3"/>
        <v>16398889.75753141</v>
      </c>
      <c r="Q60" s="49">
        <f t="shared" si="4"/>
        <v>125994.32620611042</v>
      </c>
      <c r="R60" s="48">
        <f t="shared" si="5"/>
        <v>7.4872102877117366E-3</v>
      </c>
      <c r="AC60" s="2"/>
      <c r="AD60" s="5"/>
      <c r="AE60" s="5"/>
      <c r="AH60" s="2"/>
      <c r="AL60" s="2"/>
      <c r="AM60" s="72"/>
      <c r="AO60" s="5"/>
      <c r="AP60" s="2"/>
      <c r="AQ60" s="72"/>
      <c r="AR60" s="5"/>
      <c r="AS60" s="5"/>
      <c r="AT60" s="28"/>
      <c r="AU60" s="28"/>
      <c r="AV60" s="28"/>
    </row>
    <row r="61" spans="1:48" x14ac:dyDescent="0.2">
      <c r="A61" s="2">
        <v>42309</v>
      </c>
      <c r="B61">
        <f t="shared" si="1"/>
        <v>2015</v>
      </c>
      <c r="C61">
        <f t="shared" si="2"/>
        <v>11</v>
      </c>
      <c r="D61" s="54">
        <v>16129527.980722889</v>
      </c>
      <c r="E61" s="54">
        <v>555044.66445330705</v>
      </c>
      <c r="F61" s="54">
        <v>16684572.645176196</v>
      </c>
      <c r="G61" s="126">
        <v>121.9</v>
      </c>
      <c r="H61" s="126">
        <v>7.3999999999999986</v>
      </c>
      <c r="I61" s="124">
        <f t="shared" si="9"/>
        <v>193.95999999999998</v>
      </c>
      <c r="J61" s="124">
        <f t="shared" si="9"/>
        <v>2.7399999999999998</v>
      </c>
      <c r="K61" s="30">
        <v>30</v>
      </c>
      <c r="L61" s="30">
        <v>293</v>
      </c>
      <c r="M61" s="30">
        <v>3140.6</v>
      </c>
      <c r="N61" s="30">
        <v>0</v>
      </c>
      <c r="O61" s="30">
        <f t="shared" si="8"/>
        <v>17028280.294979766</v>
      </c>
      <c r="P61" s="30">
        <f t="shared" si="3"/>
        <v>16473235.630526459</v>
      </c>
      <c r="Q61" s="49">
        <f t="shared" si="4"/>
        <v>343707.64980356954</v>
      </c>
      <c r="R61" s="48">
        <f t="shared" si="5"/>
        <v>2.0600326847624802E-2</v>
      </c>
      <c r="AC61" s="2"/>
      <c r="AD61" s="5"/>
      <c r="AE61" s="5"/>
      <c r="AO61" s="5"/>
      <c r="AP61" s="5"/>
      <c r="AQ61" s="5"/>
      <c r="AR61" s="5"/>
      <c r="AT61" s="28"/>
      <c r="AU61" s="28"/>
      <c r="AV61" s="28"/>
    </row>
    <row r="62" spans="1:48" x14ac:dyDescent="0.2">
      <c r="A62" s="2">
        <v>42339</v>
      </c>
      <c r="B62">
        <f t="shared" si="1"/>
        <v>2015</v>
      </c>
      <c r="C62">
        <f t="shared" si="2"/>
        <v>12</v>
      </c>
      <c r="D62" s="54">
        <v>16103160.144578312</v>
      </c>
      <c r="E62" s="54">
        <v>555044.66445330705</v>
      </c>
      <c r="F62" s="54">
        <v>16658204.809031619</v>
      </c>
      <c r="G62" s="126">
        <v>182</v>
      </c>
      <c r="H62" s="126">
        <v>0</v>
      </c>
      <c r="I62" s="124">
        <f t="shared" si="9"/>
        <v>327.48000000000008</v>
      </c>
      <c r="J62" s="124">
        <f t="shared" si="9"/>
        <v>0</v>
      </c>
      <c r="K62" s="30">
        <v>31</v>
      </c>
      <c r="L62" s="30">
        <v>293</v>
      </c>
      <c r="M62" s="30">
        <v>3147.5</v>
      </c>
      <c r="N62" s="30">
        <v>0</v>
      </c>
      <c r="O62" s="30">
        <f t="shared" si="8"/>
        <v>17414463.829024695</v>
      </c>
      <c r="P62" s="30">
        <f t="shared" si="3"/>
        <v>16859419.16457139</v>
      </c>
      <c r="Q62" s="49">
        <f t="shared" si="4"/>
        <v>756259.0199930761</v>
      </c>
      <c r="R62" s="48">
        <f t="shared" si="5"/>
        <v>4.5398590584205888E-2</v>
      </c>
    </row>
    <row r="63" spans="1:48" x14ac:dyDescent="0.2">
      <c r="A63" s="2">
        <v>42370</v>
      </c>
      <c r="B63">
        <f t="shared" si="1"/>
        <v>2016</v>
      </c>
      <c r="C63">
        <f t="shared" si="2"/>
        <v>1</v>
      </c>
      <c r="D63" s="54">
        <v>17735240.327710841</v>
      </c>
      <c r="E63" s="54">
        <v>657746.90431909065</v>
      </c>
      <c r="F63" s="54">
        <v>18392987.23202993</v>
      </c>
      <c r="G63" s="126">
        <v>422.40000000000009</v>
      </c>
      <c r="H63" s="126">
        <v>0</v>
      </c>
      <c r="I63" s="124">
        <f t="shared" si="9"/>
        <v>439.5</v>
      </c>
      <c r="J63" s="124">
        <f t="shared" si="9"/>
        <v>0</v>
      </c>
      <c r="K63" s="30">
        <v>31</v>
      </c>
      <c r="L63" s="30">
        <v>292</v>
      </c>
      <c r="M63" s="30">
        <v>3154.2</v>
      </c>
      <c r="N63" s="30">
        <v>0</v>
      </c>
      <c r="O63" s="30">
        <f t="shared" si="8"/>
        <v>18481879.376942504</v>
      </c>
      <c r="P63" s="30">
        <f t="shared" si="3"/>
        <v>17824132.472623415</v>
      </c>
      <c r="Q63" s="49">
        <f t="shared" si="4"/>
        <v>88892.14491257444</v>
      </c>
      <c r="R63" s="48">
        <f t="shared" si="5"/>
        <v>4.8329368030972054E-3</v>
      </c>
    </row>
    <row r="64" spans="1:48" x14ac:dyDescent="0.2">
      <c r="A64" s="2">
        <v>42401</v>
      </c>
      <c r="B64">
        <f t="shared" si="1"/>
        <v>2016</v>
      </c>
      <c r="C64">
        <f t="shared" si="2"/>
        <v>2</v>
      </c>
      <c r="D64" s="54">
        <v>16845185.012048196</v>
      </c>
      <c r="E64" s="54">
        <v>657746.90431909065</v>
      </c>
      <c r="F64" s="54">
        <v>17502931.916367285</v>
      </c>
      <c r="G64" s="126">
        <v>356.40000000000003</v>
      </c>
      <c r="H64" s="126">
        <v>0</v>
      </c>
      <c r="I64" s="124">
        <f t="shared" ref="I64:J79" si="10">I52</f>
        <v>403.5</v>
      </c>
      <c r="J64" s="124">
        <f t="shared" si="10"/>
        <v>0</v>
      </c>
      <c r="K64" s="30">
        <v>29</v>
      </c>
      <c r="L64" s="30">
        <v>290</v>
      </c>
      <c r="M64" s="30">
        <v>3149.3</v>
      </c>
      <c r="N64" s="30">
        <v>0</v>
      </c>
      <c r="O64" s="30">
        <f t="shared" si="8"/>
        <v>17747775.192705434</v>
      </c>
      <c r="P64" s="30">
        <f t="shared" si="3"/>
        <v>17090028.288386345</v>
      </c>
      <c r="Q64" s="49">
        <f t="shared" si="4"/>
        <v>244843.27633814886</v>
      </c>
      <c r="R64" s="48">
        <f t="shared" si="5"/>
        <v>1.3988700722145402E-2</v>
      </c>
    </row>
    <row r="65" spans="1:18" x14ac:dyDescent="0.2">
      <c r="A65" s="2">
        <v>42430</v>
      </c>
      <c r="B65">
        <f t="shared" si="1"/>
        <v>2016</v>
      </c>
      <c r="C65">
        <f t="shared" si="2"/>
        <v>3</v>
      </c>
      <c r="D65" s="54">
        <v>16957889.127710842</v>
      </c>
      <c r="E65" s="54">
        <v>657746.90431909065</v>
      </c>
      <c r="F65" s="54">
        <v>17615636.032029931</v>
      </c>
      <c r="G65" s="126">
        <v>232.90000000000003</v>
      </c>
      <c r="H65" s="126">
        <v>0.80000000000000071</v>
      </c>
      <c r="I65" s="124">
        <f t="shared" si="10"/>
        <v>291.06</v>
      </c>
      <c r="J65" s="124">
        <f t="shared" si="10"/>
        <v>2.8099999999999996</v>
      </c>
      <c r="K65" s="30">
        <v>31</v>
      </c>
      <c r="L65" s="30">
        <v>293</v>
      </c>
      <c r="M65" s="30">
        <v>3140</v>
      </c>
      <c r="N65" s="30">
        <v>0</v>
      </c>
      <c r="O65" s="30">
        <f t="shared" si="8"/>
        <v>17931295.782591432</v>
      </c>
      <c r="P65" s="30">
        <f t="shared" si="3"/>
        <v>17273548.878272343</v>
      </c>
      <c r="Q65" s="49">
        <f t="shared" si="4"/>
        <v>315659.75056150183</v>
      </c>
      <c r="R65" s="48">
        <f t="shared" si="5"/>
        <v>1.7919293404311268E-2</v>
      </c>
    </row>
    <row r="66" spans="1:18" x14ac:dyDescent="0.2">
      <c r="A66" s="2">
        <v>42461</v>
      </c>
      <c r="B66">
        <f t="shared" si="1"/>
        <v>2016</v>
      </c>
      <c r="C66">
        <f t="shared" si="2"/>
        <v>4</v>
      </c>
      <c r="D66" s="54">
        <v>16234178.226506023</v>
      </c>
      <c r="E66" s="54">
        <v>657746.90431909065</v>
      </c>
      <c r="F66" s="54">
        <v>16891925.130825114</v>
      </c>
      <c r="G66" s="126">
        <v>167.70000000000005</v>
      </c>
      <c r="H66" s="126">
        <v>4.9000000000000004</v>
      </c>
      <c r="I66" s="124">
        <f t="shared" si="10"/>
        <v>120.71999999999998</v>
      </c>
      <c r="J66" s="124">
        <f t="shared" si="10"/>
        <v>6.58</v>
      </c>
      <c r="K66" s="30">
        <v>30</v>
      </c>
      <c r="L66" s="30">
        <v>293</v>
      </c>
      <c r="M66" s="30">
        <v>3137.9</v>
      </c>
      <c r="N66" s="30">
        <v>0</v>
      </c>
      <c r="O66" s="30">
        <f t="shared" si="8"/>
        <v>16658840.874900972</v>
      </c>
      <c r="P66" s="30">
        <f t="shared" si="3"/>
        <v>16001093.970581882</v>
      </c>
      <c r="Q66" s="49">
        <f t="shared" si="4"/>
        <v>-233084.25592414103</v>
      </c>
      <c r="R66" s="48">
        <f t="shared" si="5"/>
        <v>1.3798560798662245E-2</v>
      </c>
    </row>
    <row r="67" spans="1:18" x14ac:dyDescent="0.2">
      <c r="A67" s="2">
        <v>42491</v>
      </c>
      <c r="B67">
        <f t="shared" si="1"/>
        <v>2016</v>
      </c>
      <c r="C67">
        <f t="shared" si="2"/>
        <v>5</v>
      </c>
      <c r="D67" s="54">
        <v>15945008.597590361</v>
      </c>
      <c r="E67" s="54">
        <v>657746.90431909065</v>
      </c>
      <c r="F67" s="54">
        <v>16602755.501909452</v>
      </c>
      <c r="G67" s="126">
        <v>12.600000000000001</v>
      </c>
      <c r="H67" s="126">
        <v>116.69999999999999</v>
      </c>
      <c r="I67" s="124">
        <f t="shared" si="10"/>
        <v>16.330000000000002</v>
      </c>
      <c r="J67" s="124">
        <f t="shared" si="10"/>
        <v>107.25</v>
      </c>
      <c r="K67" s="30">
        <v>31</v>
      </c>
      <c r="L67" s="30">
        <v>295</v>
      </c>
      <c r="M67" s="30">
        <v>3144.8</v>
      </c>
      <c r="N67" s="30">
        <v>0</v>
      </c>
      <c r="O67" s="30">
        <f t="shared" ref="O67:O98" si="11">F67+(I67-G67)*$T$10+(J67-H67)*$T$11</f>
        <v>16559509.836544981</v>
      </c>
      <c r="P67" s="30">
        <f t="shared" si="3"/>
        <v>15901762.93222589</v>
      </c>
      <c r="Q67" s="49">
        <f t="shared" si="4"/>
        <v>-43245.665364470333</v>
      </c>
      <c r="R67" s="48">
        <f t="shared" si="5"/>
        <v>2.6047281946359282E-3</v>
      </c>
    </row>
    <row r="68" spans="1:18" x14ac:dyDescent="0.2">
      <c r="A68" s="2">
        <v>42522</v>
      </c>
      <c r="B68">
        <f t="shared" ref="B68:B131" si="12">YEAR(A68)</f>
        <v>2016</v>
      </c>
      <c r="C68">
        <f t="shared" ref="C68:C131" si="13">MONTH(A68)</f>
        <v>6</v>
      </c>
      <c r="D68" s="54">
        <v>16837420.39518071</v>
      </c>
      <c r="E68" s="54">
        <v>657746.90431909065</v>
      </c>
      <c r="F68" s="54">
        <v>17495167.299499799</v>
      </c>
      <c r="G68" s="126">
        <v>0</v>
      </c>
      <c r="H68" s="126">
        <v>240.59999999999997</v>
      </c>
      <c r="I68" s="124">
        <f t="shared" si="10"/>
        <v>0</v>
      </c>
      <c r="J68" s="124">
        <f t="shared" si="10"/>
        <v>230.10000000000005</v>
      </c>
      <c r="K68" s="30">
        <v>30</v>
      </c>
      <c r="L68" s="30">
        <v>299</v>
      </c>
      <c r="M68" s="30">
        <v>3155.8</v>
      </c>
      <c r="N68" s="30">
        <v>0</v>
      </c>
      <c r="O68" s="30">
        <f t="shared" si="11"/>
        <v>17425572.200197894</v>
      </c>
      <c r="P68" s="30">
        <f t="shared" ref="P68:P99" si="14">O68-E68</f>
        <v>16767825.295878803</v>
      </c>
      <c r="Q68" s="49">
        <f t="shared" ref="Q68:Q131" si="15">+O68-F68</f>
        <v>-69595.09930190444</v>
      </c>
      <c r="R68" s="48">
        <f t="shared" ref="R68:R131" si="16">ABS(Q68/F68)</f>
        <v>3.9779613484401616E-3</v>
      </c>
    </row>
    <row r="69" spans="1:18" x14ac:dyDescent="0.2">
      <c r="A69" s="2">
        <v>42552</v>
      </c>
      <c r="B69">
        <f t="shared" si="12"/>
        <v>2016</v>
      </c>
      <c r="C69">
        <f t="shared" si="13"/>
        <v>7</v>
      </c>
      <c r="D69" s="54">
        <v>17715629.291566268</v>
      </c>
      <c r="E69" s="54">
        <v>657746.90431909065</v>
      </c>
      <c r="F69" s="54">
        <v>18373376.195885357</v>
      </c>
      <c r="G69" s="126">
        <v>0</v>
      </c>
      <c r="H69" s="126">
        <v>362.9</v>
      </c>
      <c r="I69" s="124">
        <f t="shared" si="10"/>
        <v>0</v>
      </c>
      <c r="J69" s="124">
        <f t="shared" si="10"/>
        <v>331.41</v>
      </c>
      <c r="K69" s="30">
        <v>31</v>
      </c>
      <c r="L69" s="30">
        <v>300</v>
      </c>
      <c r="M69" s="30">
        <v>3152.3</v>
      </c>
      <c r="N69" s="30">
        <v>0</v>
      </c>
      <c r="O69" s="30">
        <f t="shared" si="11"/>
        <v>18164657.179026589</v>
      </c>
      <c r="P69" s="30">
        <f t="shared" si="14"/>
        <v>17506910.2747075</v>
      </c>
      <c r="Q69" s="49">
        <f t="shared" si="15"/>
        <v>-208719.01685876772</v>
      </c>
      <c r="R69" s="48">
        <f t="shared" si="16"/>
        <v>1.1359861934656816E-2</v>
      </c>
    </row>
    <row r="70" spans="1:18" x14ac:dyDescent="0.2">
      <c r="A70" s="2">
        <v>42583</v>
      </c>
      <c r="B70">
        <f t="shared" si="12"/>
        <v>2016</v>
      </c>
      <c r="C70">
        <f t="shared" si="13"/>
        <v>8</v>
      </c>
      <c r="D70" s="54">
        <v>18536229.59036145</v>
      </c>
      <c r="E70" s="54">
        <v>657746.90431909065</v>
      </c>
      <c r="F70" s="54">
        <v>19193976.494680539</v>
      </c>
      <c r="G70" s="126">
        <v>0</v>
      </c>
      <c r="H70" s="126">
        <v>381.40000000000009</v>
      </c>
      <c r="I70" s="124">
        <f t="shared" si="10"/>
        <v>0</v>
      </c>
      <c r="J70" s="124">
        <f t="shared" si="10"/>
        <v>304.46000000000004</v>
      </c>
      <c r="K70" s="30">
        <v>31</v>
      </c>
      <c r="L70" s="30">
        <v>301</v>
      </c>
      <c r="M70" s="30">
        <v>3149.1</v>
      </c>
      <c r="N70" s="30">
        <v>0</v>
      </c>
      <c r="O70" s="30">
        <f t="shared" si="11"/>
        <v>18684010.119414948</v>
      </c>
      <c r="P70" s="30">
        <f t="shared" si="14"/>
        <v>18026263.215095859</v>
      </c>
      <c r="Q70" s="49">
        <f t="shared" si="15"/>
        <v>-509966.37526559085</v>
      </c>
      <c r="R70" s="48">
        <f t="shared" si="16"/>
        <v>2.6569084077336661E-2</v>
      </c>
    </row>
    <row r="71" spans="1:18" x14ac:dyDescent="0.2">
      <c r="A71" s="2">
        <v>42614</v>
      </c>
      <c r="B71">
        <f t="shared" si="12"/>
        <v>2016</v>
      </c>
      <c r="C71">
        <f t="shared" si="13"/>
        <v>9</v>
      </c>
      <c r="D71" s="54">
        <v>17232312.954216857</v>
      </c>
      <c r="E71" s="54">
        <v>657746.90431909065</v>
      </c>
      <c r="F71" s="54">
        <v>17890059.858535945</v>
      </c>
      <c r="G71" s="126">
        <v>0</v>
      </c>
      <c r="H71" s="126">
        <v>223.5</v>
      </c>
      <c r="I71" s="124">
        <f t="shared" si="10"/>
        <v>0.24999999999999983</v>
      </c>
      <c r="J71" s="124">
        <f t="shared" si="10"/>
        <v>176.51</v>
      </c>
      <c r="K71" s="30">
        <v>30</v>
      </c>
      <c r="L71" s="30">
        <v>300</v>
      </c>
      <c r="M71" s="30">
        <v>3140.2</v>
      </c>
      <c r="N71" s="30">
        <v>0</v>
      </c>
      <c r="O71" s="30">
        <f t="shared" si="11"/>
        <v>17579904.811660051</v>
      </c>
      <c r="P71" s="30">
        <f t="shared" si="14"/>
        <v>16922157.907340962</v>
      </c>
      <c r="Q71" s="49">
        <f t="shared" si="15"/>
        <v>-310155.04687589407</v>
      </c>
      <c r="R71" s="48">
        <f t="shared" si="16"/>
        <v>1.7336724937111306E-2</v>
      </c>
    </row>
    <row r="72" spans="1:18" x14ac:dyDescent="0.2">
      <c r="A72" s="2">
        <v>42644</v>
      </c>
      <c r="B72">
        <f t="shared" si="12"/>
        <v>2016</v>
      </c>
      <c r="C72">
        <f t="shared" si="13"/>
        <v>10</v>
      </c>
      <c r="D72" s="54">
        <v>16281343.142168675</v>
      </c>
      <c r="E72" s="54">
        <v>657746.90431909065</v>
      </c>
      <c r="F72" s="54">
        <v>16939090.046487764</v>
      </c>
      <c r="G72" s="126">
        <v>45.400000000000006</v>
      </c>
      <c r="H72" s="126">
        <v>69.3</v>
      </c>
      <c r="I72" s="124">
        <f t="shared" si="10"/>
        <v>44.309999999999995</v>
      </c>
      <c r="J72" s="124">
        <f t="shared" si="10"/>
        <v>43.36</v>
      </c>
      <c r="K72" s="30">
        <v>31</v>
      </c>
      <c r="L72" s="30">
        <v>302</v>
      </c>
      <c r="M72" s="30">
        <v>3134.2</v>
      </c>
      <c r="N72" s="30">
        <v>0</v>
      </c>
      <c r="O72" s="30">
        <f t="shared" si="11"/>
        <v>16761490.78624678</v>
      </c>
      <c r="P72" s="30">
        <f t="shared" si="14"/>
        <v>16103743.88192769</v>
      </c>
      <c r="Q72" s="49">
        <f t="shared" si="15"/>
        <v>-177599.26024098322</v>
      </c>
      <c r="R72" s="48">
        <f t="shared" si="16"/>
        <v>1.0484580916305332E-2</v>
      </c>
    </row>
    <row r="73" spans="1:18" x14ac:dyDescent="0.2">
      <c r="A73" s="2">
        <v>42675</v>
      </c>
      <c r="B73">
        <f t="shared" si="12"/>
        <v>2016</v>
      </c>
      <c r="C73">
        <f t="shared" si="13"/>
        <v>11</v>
      </c>
      <c r="D73" s="54">
        <v>16390339.113253012</v>
      </c>
      <c r="E73" s="54">
        <v>657746.90431909065</v>
      </c>
      <c r="F73" s="54">
        <v>17048086.017572101</v>
      </c>
      <c r="G73" s="126">
        <v>108.59999999999997</v>
      </c>
      <c r="H73" s="126">
        <v>3.0999999999999996</v>
      </c>
      <c r="I73" s="124">
        <f t="shared" si="10"/>
        <v>193.95999999999998</v>
      </c>
      <c r="J73" s="124">
        <f t="shared" si="10"/>
        <v>2.7399999999999998</v>
      </c>
      <c r="K73" s="30">
        <v>30</v>
      </c>
      <c r="L73" s="30">
        <v>303</v>
      </c>
      <c r="M73" s="30">
        <v>3130.5</v>
      </c>
      <c r="N73" s="30">
        <v>0</v>
      </c>
      <c r="O73" s="30">
        <f t="shared" si="11"/>
        <v>17489432.85249798</v>
      </c>
      <c r="P73" s="30">
        <f t="shared" si="14"/>
        <v>16831685.948178891</v>
      </c>
      <c r="Q73" s="49">
        <f t="shared" si="15"/>
        <v>441346.83492587879</v>
      </c>
      <c r="R73" s="48">
        <f t="shared" si="16"/>
        <v>2.5888351013185061E-2</v>
      </c>
    </row>
    <row r="74" spans="1:18" x14ac:dyDescent="0.2">
      <c r="A74" s="2">
        <v>42705</v>
      </c>
      <c r="B74">
        <f t="shared" si="12"/>
        <v>2016</v>
      </c>
      <c r="C74">
        <f t="shared" si="13"/>
        <v>12</v>
      </c>
      <c r="D74" s="54">
        <v>18004813.812048193</v>
      </c>
      <c r="E74" s="54">
        <v>657746.90431909065</v>
      </c>
      <c r="F74" s="54">
        <v>18662560.716367282</v>
      </c>
      <c r="G74" s="126">
        <v>359.99999999999994</v>
      </c>
      <c r="H74" s="126">
        <v>0</v>
      </c>
      <c r="I74" s="124">
        <f t="shared" si="10"/>
        <v>327.48000000000008</v>
      </c>
      <c r="J74" s="124">
        <f t="shared" si="10"/>
        <v>0</v>
      </c>
      <c r="K74" s="30">
        <v>31</v>
      </c>
      <c r="L74" s="30">
        <v>304</v>
      </c>
      <c r="M74" s="30">
        <v>3127.9</v>
      </c>
      <c r="N74" s="30">
        <v>0</v>
      </c>
      <c r="O74" s="30">
        <f t="shared" si="11"/>
        <v>18493509.689901963</v>
      </c>
      <c r="P74" s="30">
        <f t="shared" si="14"/>
        <v>17835762.785582874</v>
      </c>
      <c r="Q74" s="49">
        <f t="shared" si="15"/>
        <v>-169051.0264653191</v>
      </c>
      <c r="R74" s="48">
        <f t="shared" si="16"/>
        <v>9.05829746702763E-3</v>
      </c>
    </row>
    <row r="75" spans="1:18" x14ac:dyDescent="0.2">
      <c r="A75" s="2">
        <v>42736</v>
      </c>
      <c r="B75">
        <f t="shared" si="12"/>
        <v>2017</v>
      </c>
      <c r="C75">
        <f t="shared" si="13"/>
        <v>1</v>
      </c>
      <c r="D75" s="54">
        <v>18633488.665060241</v>
      </c>
      <c r="E75" s="54">
        <v>1025745.4165349469</v>
      </c>
      <c r="F75" s="54">
        <v>19659234.081595186</v>
      </c>
      <c r="G75" s="126">
        <v>360.90000000000003</v>
      </c>
      <c r="H75" s="126">
        <v>0</v>
      </c>
      <c r="I75" s="124">
        <f t="shared" si="10"/>
        <v>439.5</v>
      </c>
      <c r="J75" s="124">
        <f t="shared" si="10"/>
        <v>0</v>
      </c>
      <c r="K75" s="30">
        <v>31</v>
      </c>
      <c r="L75" s="30">
        <v>304</v>
      </c>
      <c r="M75" s="30">
        <v>3136.5</v>
      </c>
      <c r="N75" s="30">
        <v>0</v>
      </c>
      <c r="O75" s="30">
        <f t="shared" si="11"/>
        <v>20067826.045930184</v>
      </c>
      <c r="P75" s="30">
        <f t="shared" si="14"/>
        <v>19042080.629395239</v>
      </c>
      <c r="Q75" s="49">
        <f t="shared" si="15"/>
        <v>408591.96433499828</v>
      </c>
      <c r="R75" s="48">
        <f t="shared" si="16"/>
        <v>2.0783717343165406E-2</v>
      </c>
    </row>
    <row r="76" spans="1:18" x14ac:dyDescent="0.2">
      <c r="A76" s="2">
        <v>42767</v>
      </c>
      <c r="B76">
        <f t="shared" si="12"/>
        <v>2017</v>
      </c>
      <c r="C76">
        <f t="shared" si="13"/>
        <v>2</v>
      </c>
      <c r="D76" s="54">
        <v>16411229.214457829</v>
      </c>
      <c r="E76" s="54">
        <v>1025745.4165349469</v>
      </c>
      <c r="F76" s="54">
        <v>17436974.630992774</v>
      </c>
      <c r="G76" s="126">
        <v>287.3</v>
      </c>
      <c r="H76" s="126">
        <v>0</v>
      </c>
      <c r="I76" s="124">
        <f t="shared" si="10"/>
        <v>403.5</v>
      </c>
      <c r="J76" s="124">
        <f t="shared" si="10"/>
        <v>0</v>
      </c>
      <c r="K76" s="30">
        <v>28</v>
      </c>
      <c r="L76" s="30">
        <v>306</v>
      </c>
      <c r="M76" s="30">
        <v>3152.5</v>
      </c>
      <c r="N76" s="30">
        <v>0</v>
      </c>
      <c r="O76" s="30">
        <f t="shared" si="11"/>
        <v>18041025.346714489</v>
      </c>
      <c r="P76" s="30">
        <f t="shared" si="14"/>
        <v>17015279.930179544</v>
      </c>
      <c r="Q76" s="49">
        <f t="shared" si="15"/>
        <v>604050.71572171524</v>
      </c>
      <c r="R76" s="48">
        <f t="shared" si="16"/>
        <v>3.46419449763989E-2</v>
      </c>
    </row>
    <row r="77" spans="1:18" x14ac:dyDescent="0.2">
      <c r="A77" s="2">
        <v>42795</v>
      </c>
      <c r="B77">
        <f t="shared" si="12"/>
        <v>2017</v>
      </c>
      <c r="C77">
        <f t="shared" si="13"/>
        <v>3</v>
      </c>
      <c r="D77" s="54">
        <v>18608676.597590368</v>
      </c>
      <c r="E77" s="54">
        <v>1025745.4165349469</v>
      </c>
      <c r="F77" s="54">
        <v>19634422.014125314</v>
      </c>
      <c r="G77" s="126">
        <v>327.10000000000002</v>
      </c>
      <c r="H77" s="126">
        <v>0</v>
      </c>
      <c r="I77" s="124">
        <f t="shared" si="10"/>
        <v>291.06</v>
      </c>
      <c r="J77" s="124">
        <f t="shared" si="10"/>
        <v>2.8099999999999996</v>
      </c>
      <c r="K77" s="30">
        <v>31</v>
      </c>
      <c r="L77" s="30">
        <v>307</v>
      </c>
      <c r="M77" s="30">
        <v>3168.5</v>
      </c>
      <c r="N77" s="30">
        <v>0</v>
      </c>
      <c r="O77" s="30">
        <f t="shared" si="11"/>
        <v>19465697.695766855</v>
      </c>
      <c r="P77" s="30">
        <f t="shared" si="14"/>
        <v>18439952.27923191</v>
      </c>
      <c r="Q77" s="49">
        <f t="shared" si="15"/>
        <v>-168724.31835845858</v>
      </c>
      <c r="R77" s="48">
        <f t="shared" si="16"/>
        <v>8.5932918339575084E-3</v>
      </c>
    </row>
    <row r="78" spans="1:18" x14ac:dyDescent="0.2">
      <c r="A78" s="2">
        <v>42826</v>
      </c>
      <c r="B78">
        <f t="shared" si="12"/>
        <v>2017</v>
      </c>
      <c r="C78">
        <f t="shared" si="13"/>
        <v>4</v>
      </c>
      <c r="D78" s="54">
        <v>15988040.308433732</v>
      </c>
      <c r="E78" s="54">
        <v>1025745.4165349469</v>
      </c>
      <c r="F78" s="54">
        <v>17013785.724968679</v>
      </c>
      <c r="G78" s="126">
        <v>57.499999999999986</v>
      </c>
      <c r="H78" s="126">
        <v>20.5</v>
      </c>
      <c r="I78" s="124">
        <f t="shared" si="10"/>
        <v>120.71999999999998</v>
      </c>
      <c r="J78" s="124">
        <f t="shared" si="10"/>
        <v>6.58</v>
      </c>
      <c r="K78" s="30">
        <v>30</v>
      </c>
      <c r="L78" s="30">
        <v>307</v>
      </c>
      <c r="M78" s="30">
        <v>3177</v>
      </c>
      <c r="N78" s="30">
        <v>0</v>
      </c>
      <c r="O78" s="30">
        <f t="shared" si="11"/>
        <v>17250163.525232591</v>
      </c>
      <c r="P78" s="30">
        <f t="shared" si="14"/>
        <v>16224418.108697644</v>
      </c>
      <c r="Q78" s="49">
        <f t="shared" si="15"/>
        <v>236377.80026391149</v>
      </c>
      <c r="R78" s="48">
        <f t="shared" si="16"/>
        <v>1.3893310053682755E-2</v>
      </c>
    </row>
    <row r="79" spans="1:18" x14ac:dyDescent="0.2">
      <c r="A79" s="2">
        <v>42856</v>
      </c>
      <c r="B79">
        <f t="shared" si="12"/>
        <v>2017</v>
      </c>
      <c r="C79">
        <f t="shared" si="13"/>
        <v>5</v>
      </c>
      <c r="D79" s="54">
        <v>17068131.836144567</v>
      </c>
      <c r="E79" s="54">
        <v>1025745.4165349469</v>
      </c>
      <c r="F79" s="54">
        <v>18093877.252679512</v>
      </c>
      <c r="G79" s="126">
        <v>22.200000000000003</v>
      </c>
      <c r="H79" s="126">
        <v>63.900000000000013</v>
      </c>
      <c r="I79" s="124">
        <f t="shared" si="10"/>
        <v>16.330000000000002</v>
      </c>
      <c r="J79" s="124">
        <f t="shared" si="10"/>
        <v>107.25</v>
      </c>
      <c r="K79" s="30">
        <v>31</v>
      </c>
      <c r="L79" s="30">
        <v>324</v>
      </c>
      <c r="M79" s="30">
        <v>3185.7</v>
      </c>
      <c r="N79" s="30">
        <v>0</v>
      </c>
      <c r="O79" s="30">
        <f t="shared" si="11"/>
        <v>18350691.153177019</v>
      </c>
      <c r="P79" s="30">
        <f t="shared" si="14"/>
        <v>17324945.736642074</v>
      </c>
      <c r="Q79" s="49">
        <f t="shared" si="15"/>
        <v>256813.9004975073</v>
      </c>
      <c r="R79" s="48">
        <f t="shared" si="16"/>
        <v>1.4193414540793124E-2</v>
      </c>
    </row>
    <row r="80" spans="1:18" x14ac:dyDescent="0.2">
      <c r="A80" s="2">
        <v>42887</v>
      </c>
      <c r="B80">
        <f t="shared" si="12"/>
        <v>2017</v>
      </c>
      <c r="C80">
        <f t="shared" si="13"/>
        <v>6</v>
      </c>
      <c r="D80" s="54">
        <v>18289433.233734939</v>
      </c>
      <c r="E80" s="54">
        <v>1025745.4165349469</v>
      </c>
      <c r="F80" s="54">
        <v>19315178.650269885</v>
      </c>
      <c r="G80" s="126">
        <v>0</v>
      </c>
      <c r="H80" s="126">
        <v>221.49999999999997</v>
      </c>
      <c r="I80" s="124">
        <f t="shared" ref="I80:J95" si="17">I68</f>
        <v>0</v>
      </c>
      <c r="J80" s="124">
        <f t="shared" si="17"/>
        <v>230.10000000000005</v>
      </c>
      <c r="K80" s="30">
        <v>30</v>
      </c>
      <c r="L80" s="30">
        <v>325</v>
      </c>
      <c r="M80" s="30">
        <v>3186.9</v>
      </c>
      <c r="N80" s="30">
        <v>0</v>
      </c>
      <c r="O80" s="30">
        <f t="shared" si="11"/>
        <v>19372180.350650493</v>
      </c>
      <c r="P80" s="30">
        <f t="shared" si="14"/>
        <v>18346434.934115548</v>
      </c>
      <c r="Q80" s="49">
        <f t="shared" si="15"/>
        <v>57001.700380608439</v>
      </c>
      <c r="R80" s="48">
        <f t="shared" si="16"/>
        <v>2.9511350328521022E-3</v>
      </c>
    </row>
    <row r="81" spans="1:32" x14ac:dyDescent="0.2">
      <c r="A81" s="2">
        <v>42917</v>
      </c>
      <c r="B81">
        <f t="shared" si="12"/>
        <v>2017</v>
      </c>
      <c r="C81">
        <f t="shared" si="13"/>
        <v>7</v>
      </c>
      <c r="D81" s="54">
        <v>18523386.361445796</v>
      </c>
      <c r="E81" s="54">
        <v>1025745.4165349469</v>
      </c>
      <c r="F81" s="54">
        <v>19549131.777980741</v>
      </c>
      <c r="G81" s="126">
        <v>0</v>
      </c>
      <c r="H81" s="126">
        <v>302.50000000000006</v>
      </c>
      <c r="I81" s="124">
        <f t="shared" si="17"/>
        <v>0</v>
      </c>
      <c r="J81" s="124">
        <f t="shared" si="17"/>
        <v>331.41</v>
      </c>
      <c r="K81" s="30">
        <v>31</v>
      </c>
      <c r="L81" s="30">
        <v>325</v>
      </c>
      <c r="M81" s="30">
        <v>3187.6</v>
      </c>
      <c r="N81" s="30">
        <v>0</v>
      </c>
      <c r="O81" s="30">
        <f t="shared" si="11"/>
        <v>19740750.284725323</v>
      </c>
      <c r="P81" s="30">
        <f t="shared" si="14"/>
        <v>18715004.868190378</v>
      </c>
      <c r="Q81" s="49">
        <f t="shared" si="15"/>
        <v>191618.50674458221</v>
      </c>
      <c r="R81" s="48">
        <f t="shared" si="16"/>
        <v>9.8018934508596767E-3</v>
      </c>
    </row>
    <row r="82" spans="1:32" x14ac:dyDescent="0.2">
      <c r="A82" s="2">
        <v>42948</v>
      </c>
      <c r="B82">
        <f t="shared" si="12"/>
        <v>2017</v>
      </c>
      <c r="C82">
        <f t="shared" si="13"/>
        <v>8</v>
      </c>
      <c r="D82" s="54">
        <v>18386586.149397578</v>
      </c>
      <c r="E82" s="54">
        <v>1025745.4165349469</v>
      </c>
      <c r="F82" s="54">
        <v>19412331.565932523</v>
      </c>
      <c r="G82" s="126">
        <v>0</v>
      </c>
      <c r="H82" s="126">
        <v>249.60000000000005</v>
      </c>
      <c r="I82" s="124">
        <f t="shared" si="17"/>
        <v>0</v>
      </c>
      <c r="J82" s="124">
        <f t="shared" si="17"/>
        <v>304.46000000000004</v>
      </c>
      <c r="K82" s="30">
        <v>31</v>
      </c>
      <c r="L82" s="30">
        <v>326</v>
      </c>
      <c r="M82" s="30">
        <v>3194.3</v>
      </c>
      <c r="N82" s="30">
        <v>0</v>
      </c>
      <c r="O82" s="30">
        <f t="shared" si="11"/>
        <v>19775949.389523249</v>
      </c>
      <c r="P82" s="30">
        <f t="shared" si="14"/>
        <v>18750203.972988304</v>
      </c>
      <c r="Q82" s="49">
        <f t="shared" si="15"/>
        <v>363617.82359072566</v>
      </c>
      <c r="R82" s="48">
        <f t="shared" si="16"/>
        <v>1.8731280287260964E-2</v>
      </c>
    </row>
    <row r="83" spans="1:32" x14ac:dyDescent="0.2">
      <c r="A83" s="2">
        <v>42979</v>
      </c>
      <c r="B83">
        <f t="shared" si="12"/>
        <v>2017</v>
      </c>
      <c r="C83">
        <f t="shared" si="13"/>
        <v>9</v>
      </c>
      <c r="D83" s="54">
        <v>18228570.718072273</v>
      </c>
      <c r="E83" s="54">
        <v>1025745.4165349469</v>
      </c>
      <c r="F83" s="54">
        <v>19254316.134607218</v>
      </c>
      <c r="G83" s="126">
        <v>0</v>
      </c>
      <c r="H83" s="126">
        <v>203.9</v>
      </c>
      <c r="I83" s="124">
        <f t="shared" si="17"/>
        <v>0.24999999999999983</v>
      </c>
      <c r="J83" s="124">
        <f t="shared" si="17"/>
        <v>176.51</v>
      </c>
      <c r="K83" s="30">
        <v>30</v>
      </c>
      <c r="L83" s="30">
        <v>325</v>
      </c>
      <c r="M83" s="30">
        <v>3212.3</v>
      </c>
      <c r="N83" s="30">
        <v>0</v>
      </c>
      <c r="O83" s="30">
        <f t="shared" si="11"/>
        <v>19074071.939761549</v>
      </c>
      <c r="P83" s="30">
        <f t="shared" si="14"/>
        <v>18048326.523226604</v>
      </c>
      <c r="Q83" s="49">
        <f t="shared" si="15"/>
        <v>-180244.19484566897</v>
      </c>
      <c r="R83" s="48">
        <f t="shared" si="16"/>
        <v>9.3612358696917117E-3</v>
      </c>
      <c r="AF83"/>
    </row>
    <row r="84" spans="1:32" x14ac:dyDescent="0.2">
      <c r="A84" s="2">
        <v>43009</v>
      </c>
      <c r="B84">
        <f t="shared" si="12"/>
        <v>2017</v>
      </c>
      <c r="C84">
        <f t="shared" si="13"/>
        <v>10</v>
      </c>
      <c r="D84" s="54">
        <v>17434652.356626499</v>
      </c>
      <c r="E84" s="54">
        <v>1025745.4165349469</v>
      </c>
      <c r="F84" s="54">
        <v>18460397.773161445</v>
      </c>
      <c r="G84" s="126">
        <v>24.199999999999996</v>
      </c>
      <c r="H84" s="126">
        <v>84.3</v>
      </c>
      <c r="I84" s="124">
        <f t="shared" si="17"/>
        <v>44.309999999999995</v>
      </c>
      <c r="J84" s="124">
        <f t="shared" si="17"/>
        <v>43.36</v>
      </c>
      <c r="K84" s="30">
        <v>31</v>
      </c>
      <c r="L84" s="30">
        <v>325</v>
      </c>
      <c r="M84" s="30">
        <v>3234.8</v>
      </c>
      <c r="N84" s="30">
        <v>0</v>
      </c>
      <c r="O84" s="30">
        <f t="shared" si="11"/>
        <v>18293582.40869657</v>
      </c>
      <c r="P84" s="30">
        <f t="shared" si="14"/>
        <v>17267836.992161624</v>
      </c>
      <c r="Q84" s="49">
        <f t="shared" si="15"/>
        <v>-166815.36446487531</v>
      </c>
      <c r="R84" s="48">
        <f t="shared" si="16"/>
        <v>9.0363905759061683E-3</v>
      </c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</row>
    <row r="85" spans="1:32" x14ac:dyDescent="0.2">
      <c r="A85" s="2">
        <v>43040</v>
      </c>
      <c r="B85">
        <f t="shared" si="12"/>
        <v>2017</v>
      </c>
      <c r="C85">
        <f t="shared" si="13"/>
        <v>11</v>
      </c>
      <c r="D85" s="54">
        <v>17640730.698795177</v>
      </c>
      <c r="E85" s="54">
        <v>1025745.4165349469</v>
      </c>
      <c r="F85" s="54">
        <v>18666476.115330122</v>
      </c>
      <c r="G85" s="126">
        <v>191.20000000000005</v>
      </c>
      <c r="H85" s="126">
        <v>0</v>
      </c>
      <c r="I85" s="124">
        <f t="shared" si="17"/>
        <v>193.95999999999998</v>
      </c>
      <c r="J85" s="124">
        <f t="shared" si="17"/>
        <v>2.7399999999999998</v>
      </c>
      <c r="K85" s="30">
        <v>30</v>
      </c>
      <c r="L85" s="30">
        <v>328</v>
      </c>
      <c r="M85" s="30">
        <v>3248.6</v>
      </c>
      <c r="N85" s="30">
        <v>0</v>
      </c>
      <c r="O85" s="30">
        <f t="shared" si="11"/>
        <v>18698984.626286723</v>
      </c>
      <c r="P85" s="30">
        <f t="shared" si="14"/>
        <v>17673239.209751777</v>
      </c>
      <c r="Q85" s="49">
        <f t="shared" si="15"/>
        <v>32508.510956600308</v>
      </c>
      <c r="R85" s="48">
        <f t="shared" si="16"/>
        <v>1.7415451505548071E-3</v>
      </c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</row>
    <row r="86" spans="1:32" x14ac:dyDescent="0.2">
      <c r="A86" s="2">
        <v>43070</v>
      </c>
      <c r="B86">
        <f t="shared" si="12"/>
        <v>2017</v>
      </c>
      <c r="C86">
        <f t="shared" si="13"/>
        <v>12</v>
      </c>
      <c r="D86" s="54">
        <v>18421065.821686748</v>
      </c>
      <c r="E86" s="54">
        <v>1025745.4165349469</v>
      </c>
      <c r="F86" s="54">
        <v>19446811.238221694</v>
      </c>
      <c r="G86" s="126">
        <v>470.5</v>
      </c>
      <c r="H86" s="126">
        <v>0</v>
      </c>
      <c r="I86" s="124">
        <f t="shared" si="17"/>
        <v>327.48000000000008</v>
      </c>
      <c r="J86" s="124">
        <f t="shared" si="17"/>
        <v>0</v>
      </c>
      <c r="K86" s="30">
        <v>31</v>
      </c>
      <c r="L86" s="30">
        <v>329</v>
      </c>
      <c r="M86" s="30">
        <v>3264.9</v>
      </c>
      <c r="N86" s="30">
        <v>0</v>
      </c>
      <c r="O86" s="30">
        <f t="shared" si="11"/>
        <v>18703340.211005516</v>
      </c>
      <c r="P86" s="30">
        <f t="shared" si="14"/>
        <v>17677594.794470571</v>
      </c>
      <c r="Q86" s="49">
        <f t="shared" si="15"/>
        <v>-743471.02721617743</v>
      </c>
      <c r="R86" s="48">
        <f t="shared" si="16"/>
        <v>3.8230999319565764E-2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</row>
    <row r="87" spans="1:32" x14ac:dyDescent="0.2">
      <c r="A87" s="2">
        <v>43101</v>
      </c>
      <c r="B87">
        <f t="shared" si="12"/>
        <v>2018</v>
      </c>
      <c r="C87">
        <f t="shared" si="13"/>
        <v>1</v>
      </c>
      <c r="D87" s="54">
        <v>19760806.669879515</v>
      </c>
      <c r="E87" s="54">
        <v>1423583.7771266622</v>
      </c>
      <c r="F87" s="54">
        <v>21184390.447006177</v>
      </c>
      <c r="G87" s="126">
        <v>484.2999999999999</v>
      </c>
      <c r="H87" s="126">
        <v>0</v>
      </c>
      <c r="I87" s="124">
        <f t="shared" si="17"/>
        <v>439.5</v>
      </c>
      <c r="J87" s="124">
        <f t="shared" si="17"/>
        <v>0</v>
      </c>
      <c r="K87" s="30">
        <v>31</v>
      </c>
      <c r="L87" s="30">
        <v>327</v>
      </c>
      <c r="M87" s="30">
        <v>3268.4</v>
      </c>
      <c r="N87" s="30">
        <v>0</v>
      </c>
      <c r="O87" s="30">
        <f t="shared" si="11"/>
        <v>20951503.424077325</v>
      </c>
      <c r="P87" s="30">
        <f t="shared" si="14"/>
        <v>19527919.646950662</v>
      </c>
      <c r="Q87" s="49">
        <f t="shared" si="15"/>
        <v>-232887.02292885259</v>
      </c>
      <c r="R87" s="48">
        <f t="shared" si="16"/>
        <v>1.0993331316821753E-2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</row>
    <row r="88" spans="1:32" x14ac:dyDescent="0.2">
      <c r="A88" s="2">
        <v>43132</v>
      </c>
      <c r="B88">
        <f t="shared" si="12"/>
        <v>2018</v>
      </c>
      <c r="C88">
        <f t="shared" si="13"/>
        <v>2</v>
      </c>
      <c r="D88" s="54">
        <v>17343083.026506029</v>
      </c>
      <c r="E88" s="54">
        <v>1423583.7771266622</v>
      </c>
      <c r="F88" s="54">
        <v>18766666.803632692</v>
      </c>
      <c r="G88" s="126">
        <v>331.00000000000011</v>
      </c>
      <c r="H88" s="126">
        <v>0</v>
      </c>
      <c r="I88" s="124">
        <f t="shared" si="17"/>
        <v>403.5</v>
      </c>
      <c r="J88" s="124">
        <f t="shared" si="17"/>
        <v>0</v>
      </c>
      <c r="K88" s="30">
        <v>28</v>
      </c>
      <c r="L88" s="30">
        <v>328</v>
      </c>
      <c r="M88" s="30">
        <v>3267.8</v>
      </c>
      <c r="N88" s="30">
        <v>0</v>
      </c>
      <c r="O88" s="30">
        <f t="shared" si="11"/>
        <v>19143548.704577822</v>
      </c>
      <c r="P88" s="30">
        <f t="shared" si="14"/>
        <v>17719964.92745116</v>
      </c>
      <c r="Q88" s="49">
        <f t="shared" si="15"/>
        <v>376881.90094513074</v>
      </c>
      <c r="R88" s="48">
        <f t="shared" si="16"/>
        <v>2.00825167776825E-2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</row>
    <row r="89" spans="1:32" x14ac:dyDescent="0.2">
      <c r="A89" s="2">
        <v>43160</v>
      </c>
      <c r="B89">
        <f t="shared" si="12"/>
        <v>2018</v>
      </c>
      <c r="C89">
        <f t="shared" si="13"/>
        <v>3</v>
      </c>
      <c r="D89" s="54">
        <v>16274077.571084337</v>
      </c>
      <c r="E89" s="54">
        <v>1423583.7771266622</v>
      </c>
      <c r="F89" s="54">
        <v>17697661.348210998</v>
      </c>
      <c r="G89" s="126">
        <v>306.00000000000006</v>
      </c>
      <c r="H89" s="126">
        <v>0</v>
      </c>
      <c r="I89" s="124">
        <f t="shared" si="17"/>
        <v>291.06</v>
      </c>
      <c r="J89" s="124">
        <f t="shared" si="17"/>
        <v>2.8099999999999996</v>
      </c>
      <c r="K89" s="30">
        <v>31</v>
      </c>
      <c r="L89" s="30">
        <v>331</v>
      </c>
      <c r="M89" s="30">
        <v>3257.5</v>
      </c>
      <c r="N89" s="30">
        <v>0</v>
      </c>
      <c r="O89" s="30">
        <f t="shared" si="11"/>
        <v>17638622.65895519</v>
      </c>
      <c r="P89" s="30">
        <f t="shared" si="14"/>
        <v>16215038.881828528</v>
      </c>
      <c r="Q89" s="49">
        <f t="shared" si="15"/>
        <v>-59038.689255807549</v>
      </c>
      <c r="R89" s="48">
        <f t="shared" si="16"/>
        <v>3.3359599381064882E-3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</row>
    <row r="90" spans="1:32" x14ac:dyDescent="0.2">
      <c r="A90" s="2">
        <v>43191</v>
      </c>
      <c r="B90">
        <f t="shared" si="12"/>
        <v>2018</v>
      </c>
      <c r="C90">
        <f t="shared" si="13"/>
        <v>4</v>
      </c>
      <c r="D90" s="54">
        <v>17860673.320481922</v>
      </c>
      <c r="E90" s="54">
        <v>1423583.7771266622</v>
      </c>
      <c r="F90" s="54">
        <v>19284257.097608585</v>
      </c>
      <c r="G90" s="126">
        <v>200</v>
      </c>
      <c r="H90" s="126">
        <v>0</v>
      </c>
      <c r="I90" s="124">
        <f t="shared" si="17"/>
        <v>120.71999999999998</v>
      </c>
      <c r="J90" s="124">
        <f t="shared" si="17"/>
        <v>6.58</v>
      </c>
      <c r="K90" s="30">
        <v>30</v>
      </c>
      <c r="L90" s="30">
        <v>332</v>
      </c>
      <c r="M90" s="30">
        <v>3252.9</v>
      </c>
      <c r="N90" s="30">
        <v>0</v>
      </c>
      <c r="O90" s="30">
        <f t="shared" si="11"/>
        <v>18915743.169857133</v>
      </c>
      <c r="P90" s="30">
        <f t="shared" si="14"/>
        <v>17492159.392730471</v>
      </c>
      <c r="Q90" s="49">
        <f t="shared" si="15"/>
        <v>-368513.92775145173</v>
      </c>
      <c r="R90" s="48">
        <f t="shared" si="16"/>
        <v>1.9109573466387288E-2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</row>
    <row r="91" spans="1:32" x14ac:dyDescent="0.2">
      <c r="A91" s="2">
        <v>43221</v>
      </c>
      <c r="B91">
        <f t="shared" si="12"/>
        <v>2018</v>
      </c>
      <c r="C91">
        <f t="shared" si="13"/>
        <v>5</v>
      </c>
      <c r="D91" s="54">
        <v>18372275.971084341</v>
      </c>
      <c r="E91" s="54">
        <v>1423583.7771266622</v>
      </c>
      <c r="F91" s="54">
        <v>19795859.748211004</v>
      </c>
      <c r="G91" s="126">
        <v>1.9000000000000004</v>
      </c>
      <c r="H91" s="126">
        <v>158.9</v>
      </c>
      <c r="I91" s="124">
        <f t="shared" si="17"/>
        <v>16.330000000000002</v>
      </c>
      <c r="J91" s="124">
        <f t="shared" si="17"/>
        <v>107.25</v>
      </c>
      <c r="K91" s="30">
        <v>31</v>
      </c>
      <c r="L91" s="30">
        <v>333</v>
      </c>
      <c r="M91" s="30">
        <v>3249.3</v>
      </c>
      <c r="N91" s="30">
        <v>0</v>
      </c>
      <c r="O91" s="30">
        <f t="shared" si="11"/>
        <v>19528530.634908278</v>
      </c>
      <c r="P91" s="30">
        <f t="shared" si="14"/>
        <v>18104946.857781615</v>
      </c>
      <c r="Q91" s="49">
        <f t="shared" si="15"/>
        <v>-267329.1133027263</v>
      </c>
      <c r="R91" s="48">
        <f t="shared" si="16"/>
        <v>1.350429416569722E-2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</row>
    <row r="92" spans="1:32" x14ac:dyDescent="0.2">
      <c r="A92" s="2">
        <v>43252</v>
      </c>
      <c r="B92">
        <f t="shared" si="12"/>
        <v>2018</v>
      </c>
      <c r="C92">
        <f t="shared" si="13"/>
        <v>6</v>
      </c>
      <c r="D92" s="54">
        <v>19648875.142168682</v>
      </c>
      <c r="E92" s="54">
        <v>1423583.7771266622</v>
      </c>
      <c r="F92" s="54">
        <v>21072458.919295345</v>
      </c>
      <c r="G92" s="126">
        <v>0</v>
      </c>
      <c r="H92" s="126">
        <v>225.70000000000002</v>
      </c>
      <c r="I92" s="124">
        <f t="shared" si="17"/>
        <v>0</v>
      </c>
      <c r="J92" s="124">
        <f t="shared" si="17"/>
        <v>230.10000000000005</v>
      </c>
      <c r="K92" s="30">
        <v>30</v>
      </c>
      <c r="L92" s="30">
        <v>333</v>
      </c>
      <c r="M92" s="30">
        <v>3254.6</v>
      </c>
      <c r="N92" s="30">
        <v>0</v>
      </c>
      <c r="O92" s="30">
        <f t="shared" si="11"/>
        <v>21101622.57995519</v>
      </c>
      <c r="P92" s="30">
        <f t="shared" si="14"/>
        <v>19678038.802828528</v>
      </c>
      <c r="Q92" s="49">
        <f t="shared" si="15"/>
        <v>29163.660659845918</v>
      </c>
      <c r="R92" s="48">
        <f t="shared" si="16"/>
        <v>1.3839704598091176E-3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</row>
    <row r="93" spans="1:32" x14ac:dyDescent="0.2">
      <c r="A93" s="2">
        <v>43282</v>
      </c>
      <c r="B93">
        <f t="shared" si="12"/>
        <v>2018</v>
      </c>
      <c r="C93">
        <f t="shared" si="13"/>
        <v>7</v>
      </c>
      <c r="D93" s="54">
        <v>19458868.327710845</v>
      </c>
      <c r="E93" s="54">
        <v>1423583.7771266622</v>
      </c>
      <c r="F93" s="54">
        <v>20882452.104837507</v>
      </c>
      <c r="G93" s="126">
        <v>0</v>
      </c>
      <c r="H93" s="126">
        <v>353.79999999999995</v>
      </c>
      <c r="I93" s="124">
        <f t="shared" si="17"/>
        <v>0</v>
      </c>
      <c r="J93" s="124">
        <f t="shared" si="17"/>
        <v>331.41</v>
      </c>
      <c r="K93" s="30">
        <v>31</v>
      </c>
      <c r="L93" s="30">
        <v>335</v>
      </c>
      <c r="M93" s="30">
        <v>3268.2</v>
      </c>
      <c r="N93" s="30">
        <v>0</v>
      </c>
      <c r="O93" s="30">
        <f t="shared" si="11"/>
        <v>20734048.84070706</v>
      </c>
      <c r="P93" s="30">
        <f t="shared" si="14"/>
        <v>19310465.063580398</v>
      </c>
      <c r="Q93" s="49">
        <f t="shared" si="15"/>
        <v>-148403.26413044706</v>
      </c>
      <c r="R93" s="48">
        <f t="shared" si="16"/>
        <v>7.1066014367186705E-3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</row>
    <row r="94" spans="1:32" x14ac:dyDescent="0.2">
      <c r="A94" s="2">
        <v>43313</v>
      </c>
      <c r="B94">
        <f t="shared" si="12"/>
        <v>2018</v>
      </c>
      <c r="C94">
        <f t="shared" si="13"/>
        <v>8</v>
      </c>
      <c r="D94" s="54">
        <v>20075782.737349391</v>
      </c>
      <c r="E94" s="54">
        <v>1423583.7771266622</v>
      </c>
      <c r="F94" s="54">
        <v>21499366.514476053</v>
      </c>
      <c r="G94" s="126">
        <v>0</v>
      </c>
      <c r="H94" s="126">
        <v>347.2</v>
      </c>
      <c r="I94" s="124">
        <f t="shared" si="17"/>
        <v>0</v>
      </c>
      <c r="J94" s="124">
        <f t="shared" si="17"/>
        <v>304.46000000000004</v>
      </c>
      <c r="K94" s="30">
        <v>31</v>
      </c>
      <c r="L94" s="30">
        <v>329</v>
      </c>
      <c r="M94" s="30">
        <v>3263.2</v>
      </c>
      <c r="N94" s="30">
        <v>0</v>
      </c>
      <c r="O94" s="30">
        <f t="shared" si="11"/>
        <v>21216081.319793817</v>
      </c>
      <c r="P94" s="30">
        <f t="shared" si="14"/>
        <v>19792497.542667154</v>
      </c>
      <c r="Q94" s="49">
        <f t="shared" si="15"/>
        <v>-283285.19468223676</v>
      </c>
      <c r="R94" s="48">
        <f t="shared" si="16"/>
        <v>1.3176443803192706E-2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</row>
    <row r="95" spans="1:32" x14ac:dyDescent="0.2">
      <c r="A95" s="2">
        <v>43344</v>
      </c>
      <c r="B95">
        <f t="shared" si="12"/>
        <v>2018</v>
      </c>
      <c r="C95">
        <f t="shared" si="13"/>
        <v>9</v>
      </c>
      <c r="D95" s="54">
        <v>18418754.37108434</v>
      </c>
      <c r="E95" s="54">
        <v>1423583.7771266622</v>
      </c>
      <c r="F95" s="54">
        <v>19842338.148211002</v>
      </c>
      <c r="G95" s="126">
        <v>0</v>
      </c>
      <c r="H95" s="126">
        <v>210.59999999999997</v>
      </c>
      <c r="I95" s="124">
        <f t="shared" si="17"/>
        <v>0.24999999999999983</v>
      </c>
      <c r="J95" s="124">
        <f t="shared" si="17"/>
        <v>176.51</v>
      </c>
      <c r="K95" s="30">
        <v>30</v>
      </c>
      <c r="L95" s="30">
        <v>326</v>
      </c>
      <c r="M95" s="30">
        <v>3255.6</v>
      </c>
      <c r="N95" s="30">
        <v>0</v>
      </c>
      <c r="O95" s="30">
        <f t="shared" si="11"/>
        <v>19617685.651906025</v>
      </c>
      <c r="P95" s="30">
        <f t="shared" si="14"/>
        <v>18194101.874779362</v>
      </c>
      <c r="Q95" s="49">
        <f t="shared" si="15"/>
        <v>-224652.49630497769</v>
      </c>
      <c r="R95" s="48">
        <f t="shared" si="16"/>
        <v>1.1321876213727992E-2</v>
      </c>
      <c r="AE95" s="5"/>
    </row>
    <row r="96" spans="1:32" x14ac:dyDescent="0.2">
      <c r="A96" s="2">
        <v>43374</v>
      </c>
      <c r="B96">
        <f t="shared" si="12"/>
        <v>2018</v>
      </c>
      <c r="C96">
        <f t="shared" si="13"/>
        <v>10</v>
      </c>
      <c r="D96" s="54">
        <v>17903378.053012051</v>
      </c>
      <c r="E96" s="54">
        <v>1423583.7771266622</v>
      </c>
      <c r="F96" s="54">
        <v>19326961.830138713</v>
      </c>
      <c r="G96" s="126">
        <v>81.899999999999977</v>
      </c>
      <c r="H96" s="126">
        <v>30.9</v>
      </c>
      <c r="I96" s="124">
        <f t="shared" ref="I96:J111" si="18">I84</f>
        <v>44.309999999999995</v>
      </c>
      <c r="J96" s="124">
        <f t="shared" si="18"/>
        <v>43.36</v>
      </c>
      <c r="K96" s="30">
        <v>31</v>
      </c>
      <c r="L96" s="30">
        <v>326</v>
      </c>
      <c r="M96" s="30">
        <v>3254.2</v>
      </c>
      <c r="N96" s="30">
        <v>0</v>
      </c>
      <c r="O96" s="30">
        <f t="shared" si="11"/>
        <v>19214141.246967401</v>
      </c>
      <c r="P96" s="30">
        <f t="shared" si="14"/>
        <v>17790557.469840739</v>
      </c>
      <c r="Q96" s="49">
        <f t="shared" si="15"/>
        <v>-112820.58317131177</v>
      </c>
      <c r="R96" s="48">
        <f t="shared" si="16"/>
        <v>5.8374712054006283E-3</v>
      </c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</row>
    <row r="97" spans="1:40" x14ac:dyDescent="0.2">
      <c r="A97" s="2">
        <v>43405</v>
      </c>
      <c r="B97">
        <f t="shared" si="12"/>
        <v>2018</v>
      </c>
      <c r="C97">
        <f t="shared" si="13"/>
        <v>11</v>
      </c>
      <c r="D97" s="54">
        <v>18069580.289156623</v>
      </c>
      <c r="E97" s="54">
        <v>1423583.7771266622</v>
      </c>
      <c r="F97" s="54">
        <v>19493164.066283286</v>
      </c>
      <c r="G97" s="126">
        <v>256.49999999999994</v>
      </c>
      <c r="H97" s="126">
        <v>0.40000000000000036</v>
      </c>
      <c r="I97" s="124">
        <f t="shared" si="18"/>
        <v>193.95999999999998</v>
      </c>
      <c r="J97" s="124">
        <f t="shared" si="18"/>
        <v>2.7399999999999998</v>
      </c>
      <c r="K97" s="30">
        <v>30</v>
      </c>
      <c r="L97" s="30">
        <v>328</v>
      </c>
      <c r="M97" s="30">
        <v>3272.2</v>
      </c>
      <c r="N97" s="30">
        <v>0</v>
      </c>
      <c r="O97" s="30">
        <f t="shared" si="11"/>
        <v>19183567.705958724</v>
      </c>
      <c r="P97" s="30">
        <f t="shared" si="14"/>
        <v>17759983.928832062</v>
      </c>
      <c r="Q97" s="49">
        <f t="shared" si="15"/>
        <v>-309596.3603245616</v>
      </c>
      <c r="R97" s="48">
        <f t="shared" si="16"/>
        <v>1.5882304138611376E-2</v>
      </c>
    </row>
    <row r="98" spans="1:40" x14ac:dyDescent="0.2">
      <c r="A98" s="2">
        <v>43435</v>
      </c>
      <c r="B98">
        <f t="shared" si="12"/>
        <v>2018</v>
      </c>
      <c r="C98">
        <f t="shared" si="13"/>
        <v>12</v>
      </c>
      <c r="D98" s="54">
        <v>18620637.38795181</v>
      </c>
      <c r="E98" s="54">
        <v>1423583.7771266622</v>
      </c>
      <c r="F98" s="54">
        <v>20044221.165078472</v>
      </c>
      <c r="G98" s="126">
        <v>315.60000000000002</v>
      </c>
      <c r="H98" s="126">
        <v>0</v>
      </c>
      <c r="I98" s="124">
        <f t="shared" si="18"/>
        <v>327.48000000000008</v>
      </c>
      <c r="J98" s="124">
        <f t="shared" si="18"/>
        <v>0</v>
      </c>
      <c r="K98" s="30">
        <v>31</v>
      </c>
      <c r="L98" s="30">
        <v>328</v>
      </c>
      <c r="M98" s="30">
        <v>3285.5</v>
      </c>
      <c r="N98" s="30">
        <v>0</v>
      </c>
      <c r="O98" s="30">
        <f t="shared" si="11"/>
        <v>20105977.813122999</v>
      </c>
      <c r="P98" s="30">
        <f t="shared" si="14"/>
        <v>18682394.035996336</v>
      </c>
      <c r="Q98" s="49">
        <f t="shared" si="15"/>
        <v>61756.648044526577</v>
      </c>
      <c r="R98" s="48">
        <f t="shared" si="16"/>
        <v>3.0810200873317294E-3</v>
      </c>
      <c r="S98" s="39"/>
    </row>
    <row r="99" spans="1:40" s="8" customFormat="1" x14ac:dyDescent="0.2">
      <c r="A99" s="2">
        <v>43466</v>
      </c>
      <c r="B99">
        <f t="shared" si="12"/>
        <v>2019</v>
      </c>
      <c r="C99">
        <f t="shared" si="13"/>
        <v>1</v>
      </c>
      <c r="D99" s="54">
        <v>20021565.956626497</v>
      </c>
      <c r="E99" s="54">
        <v>1598997.2617911876</v>
      </c>
      <c r="F99" s="54">
        <v>21620563.218417685</v>
      </c>
      <c r="G99" s="126">
        <v>516.5</v>
      </c>
      <c r="H99" s="126">
        <v>0</v>
      </c>
      <c r="I99" s="124">
        <f t="shared" si="18"/>
        <v>439.5</v>
      </c>
      <c r="J99" s="124">
        <f t="shared" si="18"/>
        <v>0</v>
      </c>
      <c r="K99" s="30">
        <v>31</v>
      </c>
      <c r="L99" s="30">
        <v>326</v>
      </c>
      <c r="M99" s="30">
        <v>3291.7</v>
      </c>
      <c r="N99" s="30">
        <v>0</v>
      </c>
      <c r="O99" s="30">
        <f t="shared" ref="O99:O134" si="19">F99+(I99-G99)*$T$10+(J99-H99)*$T$11</f>
        <v>21220288.647758719</v>
      </c>
      <c r="P99" s="30">
        <f t="shared" si="14"/>
        <v>19621291.38596753</v>
      </c>
      <c r="Q99" s="49">
        <f t="shared" si="15"/>
        <v>-400274.5706589669</v>
      </c>
      <c r="R99" s="48">
        <f t="shared" si="16"/>
        <v>1.8513605155206555E-2</v>
      </c>
      <c r="S99" s="39"/>
      <c r="T99" s="1"/>
      <c r="U99" s="1"/>
      <c r="V99" s="1"/>
      <c r="W99"/>
      <c r="X99"/>
      <c r="Y99"/>
      <c r="Z99"/>
      <c r="AA99"/>
      <c r="AB99"/>
      <c r="AC99"/>
      <c r="AD99"/>
      <c r="AE99"/>
      <c r="AF99" s="37"/>
      <c r="AG99" s="37"/>
      <c r="AH99" s="37"/>
      <c r="AI99" s="37"/>
      <c r="AJ99" s="37"/>
      <c r="AK99" s="37"/>
      <c r="AL99" s="37"/>
      <c r="AM99" s="37"/>
      <c r="AN99" s="37"/>
    </row>
    <row r="100" spans="1:40" x14ac:dyDescent="0.2">
      <c r="A100" s="2">
        <v>43497</v>
      </c>
      <c r="B100">
        <f t="shared" si="12"/>
        <v>2019</v>
      </c>
      <c r="C100">
        <f t="shared" si="13"/>
        <v>2</v>
      </c>
      <c r="D100" s="54">
        <v>17820036.587951798</v>
      </c>
      <c r="E100" s="54">
        <v>1598997.2617911876</v>
      </c>
      <c r="F100" s="54">
        <v>19419033.849742986</v>
      </c>
      <c r="G100" s="126">
        <v>397.7000000000001</v>
      </c>
      <c r="H100" s="126">
        <v>0</v>
      </c>
      <c r="I100" s="124">
        <f t="shared" si="18"/>
        <v>403.5</v>
      </c>
      <c r="J100" s="124">
        <f t="shared" si="18"/>
        <v>0</v>
      </c>
      <c r="K100" s="30">
        <v>28</v>
      </c>
      <c r="L100" s="30">
        <v>328</v>
      </c>
      <c r="M100" s="30">
        <v>3307</v>
      </c>
      <c r="N100" s="30">
        <v>0</v>
      </c>
      <c r="O100" s="30">
        <f t="shared" si="19"/>
        <v>19449184.401818596</v>
      </c>
      <c r="P100" s="30">
        <f t="shared" ref="P100:P127" si="20">O100-E100</f>
        <v>17850187.140027408</v>
      </c>
      <c r="Q100" s="49">
        <f t="shared" si="15"/>
        <v>30150.552075609565</v>
      </c>
      <c r="R100" s="48">
        <f t="shared" si="16"/>
        <v>1.5526288438911502E-3</v>
      </c>
      <c r="T100" s="1"/>
      <c r="U100" s="1"/>
      <c r="V100" s="1"/>
    </row>
    <row r="101" spans="1:40" x14ac:dyDescent="0.2">
      <c r="A101" s="2">
        <v>43525</v>
      </c>
      <c r="B101">
        <f t="shared" si="12"/>
        <v>2019</v>
      </c>
      <c r="C101">
        <f t="shared" si="13"/>
        <v>3</v>
      </c>
      <c r="D101" s="54">
        <v>18868347.971084334</v>
      </c>
      <c r="E101" s="54">
        <v>1598997.2617911876</v>
      </c>
      <c r="F101" s="54">
        <v>20467345.232875522</v>
      </c>
      <c r="G101" s="126">
        <v>345.9</v>
      </c>
      <c r="H101" s="126">
        <v>0</v>
      </c>
      <c r="I101" s="124">
        <f t="shared" si="18"/>
        <v>291.06</v>
      </c>
      <c r="J101" s="124">
        <f t="shared" si="18"/>
        <v>2.8099999999999996</v>
      </c>
      <c r="K101" s="30">
        <v>31</v>
      </c>
      <c r="L101" s="30">
        <v>332</v>
      </c>
      <c r="M101" s="30">
        <v>3322.8</v>
      </c>
      <c r="N101" s="30">
        <v>0</v>
      </c>
      <c r="O101" s="30">
        <f t="shared" si="19"/>
        <v>20200891.538823705</v>
      </c>
      <c r="P101" s="30">
        <f t="shared" si="20"/>
        <v>18601894.277032517</v>
      </c>
      <c r="Q101" s="49">
        <f t="shared" si="15"/>
        <v>-266453.69405181706</v>
      </c>
      <c r="R101" s="48">
        <f t="shared" si="16"/>
        <v>1.301847850906564E-2</v>
      </c>
      <c r="S101" s="39"/>
      <c r="T101" s="1"/>
      <c r="U101" s="1"/>
      <c r="V101" s="1"/>
    </row>
    <row r="102" spans="1:40" x14ac:dyDescent="0.2">
      <c r="A102" s="2">
        <v>43556</v>
      </c>
      <c r="B102">
        <f t="shared" si="12"/>
        <v>2019</v>
      </c>
      <c r="C102">
        <f t="shared" si="13"/>
        <v>4</v>
      </c>
      <c r="D102" s="54">
        <v>17363850.910843372</v>
      </c>
      <c r="E102" s="54">
        <v>1598997.2617911876</v>
      </c>
      <c r="F102" s="54">
        <v>18962848.172634561</v>
      </c>
      <c r="G102" s="126">
        <v>111.89999999999998</v>
      </c>
      <c r="H102" s="126">
        <v>1.9000000000000004</v>
      </c>
      <c r="I102" s="124">
        <f t="shared" si="18"/>
        <v>120.71999999999998</v>
      </c>
      <c r="J102" s="124">
        <f t="shared" si="18"/>
        <v>6.58</v>
      </c>
      <c r="K102" s="30">
        <v>30</v>
      </c>
      <c r="L102" s="30">
        <v>339</v>
      </c>
      <c r="M102" s="30">
        <v>3341.2</v>
      </c>
      <c r="N102" s="30">
        <v>0</v>
      </c>
      <c r="O102" s="30">
        <f t="shared" si="19"/>
        <v>19039717.335248243</v>
      </c>
      <c r="P102" s="30">
        <f t="shared" si="20"/>
        <v>17440720.073457055</v>
      </c>
      <c r="Q102" s="49">
        <f t="shared" si="15"/>
        <v>76869.162613682449</v>
      </c>
      <c r="R102" s="48">
        <f t="shared" si="16"/>
        <v>4.0536717856873928E-3</v>
      </c>
      <c r="T102" s="1"/>
      <c r="U102" s="1"/>
      <c r="V102" s="1"/>
    </row>
    <row r="103" spans="1:40" x14ac:dyDescent="0.2">
      <c r="A103" s="2">
        <v>43586</v>
      </c>
      <c r="B103">
        <f t="shared" si="12"/>
        <v>2019</v>
      </c>
      <c r="C103">
        <f t="shared" si="13"/>
        <v>5</v>
      </c>
      <c r="D103" s="54">
        <v>17505961.4939759</v>
      </c>
      <c r="E103" s="54">
        <v>1598997.2617911876</v>
      </c>
      <c r="F103" s="54">
        <v>19104958.755767088</v>
      </c>
      <c r="G103" s="126">
        <v>20.6</v>
      </c>
      <c r="H103" s="126">
        <v>39.799999999999997</v>
      </c>
      <c r="I103" s="124">
        <f t="shared" si="18"/>
        <v>16.330000000000002</v>
      </c>
      <c r="J103" s="124">
        <f t="shared" si="18"/>
        <v>107.25</v>
      </c>
      <c r="K103" s="30">
        <v>31</v>
      </c>
      <c r="L103" s="30">
        <v>342</v>
      </c>
      <c r="M103" s="30">
        <v>3355</v>
      </c>
      <c r="N103" s="30">
        <v>0</v>
      </c>
      <c r="O103" s="30">
        <f t="shared" si="19"/>
        <v>19529827.373100244</v>
      </c>
      <c r="P103" s="30">
        <f t="shared" si="20"/>
        <v>17930830.111309055</v>
      </c>
      <c r="Q103" s="49">
        <f t="shared" si="15"/>
        <v>424868.61733315513</v>
      </c>
      <c r="R103" s="48">
        <f t="shared" si="16"/>
        <v>2.2238656610808063E-2</v>
      </c>
      <c r="S103" s="39"/>
      <c r="T103" s="1"/>
      <c r="U103" s="1"/>
      <c r="V103" s="1"/>
    </row>
    <row r="104" spans="1:40" x14ac:dyDescent="0.2">
      <c r="A104" s="2">
        <v>43617</v>
      </c>
      <c r="B104">
        <f t="shared" si="12"/>
        <v>2019</v>
      </c>
      <c r="C104">
        <f t="shared" si="13"/>
        <v>6</v>
      </c>
      <c r="D104" s="54">
        <v>17272766.390361439</v>
      </c>
      <c r="E104" s="54">
        <v>1598997.2617911876</v>
      </c>
      <c r="F104" s="54">
        <v>18871763.652152628</v>
      </c>
      <c r="G104" s="126">
        <v>0</v>
      </c>
      <c r="H104" s="126">
        <v>186.2</v>
      </c>
      <c r="I104" s="124">
        <f t="shared" si="18"/>
        <v>0</v>
      </c>
      <c r="J104" s="124">
        <f t="shared" si="18"/>
        <v>230.10000000000005</v>
      </c>
      <c r="K104" s="30">
        <v>30</v>
      </c>
      <c r="L104" s="30">
        <v>343</v>
      </c>
      <c r="M104" s="30">
        <v>3367.5</v>
      </c>
      <c r="N104" s="30">
        <v>0</v>
      </c>
      <c r="O104" s="30">
        <f t="shared" si="19"/>
        <v>19162737.448281553</v>
      </c>
      <c r="P104" s="30">
        <f t="shared" si="20"/>
        <v>17563740.186490364</v>
      </c>
      <c r="Q104" s="49">
        <f t="shared" si="15"/>
        <v>290973.79612892494</v>
      </c>
      <c r="R104" s="48">
        <f t="shared" si="16"/>
        <v>1.5418473942987024E-2</v>
      </c>
      <c r="S104" s="39"/>
      <c r="T104" s="1"/>
      <c r="U104" s="1"/>
      <c r="V104" s="1"/>
    </row>
    <row r="105" spans="1:40" x14ac:dyDescent="0.2">
      <c r="A105" s="2">
        <v>43647</v>
      </c>
      <c r="B105">
        <f t="shared" si="12"/>
        <v>2019</v>
      </c>
      <c r="C105">
        <f t="shared" si="13"/>
        <v>7</v>
      </c>
      <c r="D105" s="54">
        <v>20011928.221686758</v>
      </c>
      <c r="E105" s="54">
        <v>1598997.2617911876</v>
      </c>
      <c r="F105" s="54">
        <v>21610925.483477946</v>
      </c>
      <c r="G105" s="126">
        <v>0</v>
      </c>
      <c r="H105" s="126">
        <v>352.89999999999992</v>
      </c>
      <c r="I105" s="124">
        <f t="shared" si="18"/>
        <v>0</v>
      </c>
      <c r="J105" s="124">
        <f t="shared" si="18"/>
        <v>331.41</v>
      </c>
      <c r="K105" s="30">
        <v>31</v>
      </c>
      <c r="L105" s="30">
        <v>346</v>
      </c>
      <c r="M105" s="30">
        <v>3382.6</v>
      </c>
      <c r="N105" s="30">
        <v>0</v>
      </c>
      <c r="O105" s="30">
        <f t="shared" si="19"/>
        <v>21468487.513573378</v>
      </c>
      <c r="P105" s="30">
        <f t="shared" si="20"/>
        <v>19869490.25178219</v>
      </c>
      <c r="Q105" s="49">
        <f t="shared" si="15"/>
        <v>-142437.96990456805</v>
      </c>
      <c r="R105" s="48">
        <f t="shared" si="16"/>
        <v>6.5910166602288819E-3</v>
      </c>
      <c r="S105" s="39"/>
      <c r="T105" s="1"/>
      <c r="U105" s="1"/>
      <c r="V105" s="1"/>
    </row>
    <row r="106" spans="1:40" x14ac:dyDescent="0.2">
      <c r="A106" s="2">
        <v>43678</v>
      </c>
      <c r="B106">
        <f t="shared" si="12"/>
        <v>2019</v>
      </c>
      <c r="C106">
        <f t="shared" si="13"/>
        <v>8</v>
      </c>
      <c r="D106" s="54">
        <v>18900005.146987949</v>
      </c>
      <c r="E106" s="54">
        <v>1598997.2617911876</v>
      </c>
      <c r="F106" s="54">
        <v>20499002.408779137</v>
      </c>
      <c r="G106" s="126">
        <v>0</v>
      </c>
      <c r="H106" s="126">
        <v>288.39999999999998</v>
      </c>
      <c r="I106" s="124">
        <f t="shared" si="18"/>
        <v>0</v>
      </c>
      <c r="J106" s="124">
        <f t="shared" si="18"/>
        <v>304.46000000000004</v>
      </c>
      <c r="K106" s="30">
        <v>31</v>
      </c>
      <c r="L106" s="30">
        <v>347</v>
      </c>
      <c r="M106" s="30">
        <v>3394.4</v>
      </c>
      <c r="N106" s="30">
        <v>0</v>
      </c>
      <c r="O106" s="30">
        <f t="shared" si="19"/>
        <v>20605449.770187579</v>
      </c>
      <c r="P106" s="30">
        <f t="shared" si="20"/>
        <v>19006452.508396391</v>
      </c>
      <c r="Q106" s="49">
        <f t="shared" si="15"/>
        <v>106447.36140844226</v>
      </c>
      <c r="R106" s="48">
        <f t="shared" si="16"/>
        <v>5.1928069125380411E-3</v>
      </c>
      <c r="S106" s="39"/>
      <c r="T106" s="1"/>
      <c r="U106" s="1"/>
      <c r="V106" s="1"/>
    </row>
    <row r="107" spans="1:40" x14ac:dyDescent="0.2">
      <c r="A107" s="2">
        <v>43709</v>
      </c>
      <c r="B107">
        <f t="shared" si="12"/>
        <v>2019</v>
      </c>
      <c r="C107">
        <f t="shared" si="13"/>
        <v>9</v>
      </c>
      <c r="D107" s="54">
        <v>17525598.293975905</v>
      </c>
      <c r="E107" s="54">
        <v>1598997.2617911876</v>
      </c>
      <c r="F107" s="54">
        <v>19124595.555767093</v>
      </c>
      <c r="G107" s="126">
        <v>0</v>
      </c>
      <c r="H107" s="126">
        <v>167.2</v>
      </c>
      <c r="I107" s="124">
        <f t="shared" si="18"/>
        <v>0.24999999999999983</v>
      </c>
      <c r="J107" s="124">
        <f t="shared" si="18"/>
        <v>176.51</v>
      </c>
      <c r="K107" s="30">
        <v>30</v>
      </c>
      <c r="L107" s="30">
        <v>348</v>
      </c>
      <c r="M107" s="30">
        <v>3416.8</v>
      </c>
      <c r="N107" s="30">
        <v>0</v>
      </c>
      <c r="O107" s="30">
        <f t="shared" si="19"/>
        <v>19187602.803243328</v>
      </c>
      <c r="P107" s="30">
        <f t="shared" si="20"/>
        <v>17588605.54145214</v>
      </c>
      <c r="Q107" s="49">
        <f t="shared" si="15"/>
        <v>63007.247476235032</v>
      </c>
      <c r="R107" s="48">
        <f t="shared" si="16"/>
        <v>3.2945662716111642E-3</v>
      </c>
      <c r="T107" s="1"/>
      <c r="U107" s="1"/>
      <c r="V107" s="1"/>
    </row>
    <row r="108" spans="1:40" x14ac:dyDescent="0.2">
      <c r="A108" s="2">
        <v>43739</v>
      </c>
      <c r="B108">
        <f t="shared" si="12"/>
        <v>2019</v>
      </c>
      <c r="C108">
        <f t="shared" si="13"/>
        <v>10</v>
      </c>
      <c r="D108" s="54">
        <v>17638446.88192771</v>
      </c>
      <c r="E108" s="54">
        <v>1598997.2617911876</v>
      </c>
      <c r="F108" s="54">
        <v>19237444.143718898</v>
      </c>
      <c r="G108" s="126">
        <v>26.599999999999998</v>
      </c>
      <c r="H108" s="126">
        <v>21.800000000000004</v>
      </c>
      <c r="I108" s="124">
        <f t="shared" si="18"/>
        <v>44.309999999999995</v>
      </c>
      <c r="J108" s="124">
        <f t="shared" si="18"/>
        <v>43.36</v>
      </c>
      <c r="K108" s="30">
        <v>31</v>
      </c>
      <c r="L108" s="30">
        <v>351</v>
      </c>
      <c r="M108" s="30">
        <v>3419.9</v>
      </c>
      <c r="N108" s="30">
        <v>0</v>
      </c>
      <c r="O108" s="30">
        <f t="shared" si="19"/>
        <v>19472409.232203707</v>
      </c>
      <c r="P108" s="30">
        <f t="shared" si="20"/>
        <v>17873411.970412519</v>
      </c>
      <c r="Q108" s="49">
        <f t="shared" si="15"/>
        <v>234965.0884848088</v>
      </c>
      <c r="R108" s="48">
        <f t="shared" si="16"/>
        <v>1.2213945196120339E-2</v>
      </c>
      <c r="S108" s="39"/>
      <c r="T108" s="1"/>
      <c r="U108" s="1"/>
      <c r="V108" s="1"/>
    </row>
    <row r="109" spans="1:40" x14ac:dyDescent="0.2">
      <c r="A109" s="2">
        <v>43770</v>
      </c>
      <c r="B109">
        <f t="shared" si="12"/>
        <v>2019</v>
      </c>
      <c r="C109">
        <f t="shared" si="13"/>
        <v>11</v>
      </c>
      <c r="D109" s="54">
        <v>18056629.359036144</v>
      </c>
      <c r="E109" s="54">
        <v>1598997.2617911876</v>
      </c>
      <c r="F109" s="54">
        <v>19655626.620827332</v>
      </c>
      <c r="G109" s="126">
        <v>273.3</v>
      </c>
      <c r="H109" s="126">
        <v>0</v>
      </c>
      <c r="I109" s="124">
        <f t="shared" si="18"/>
        <v>193.95999999999998</v>
      </c>
      <c r="J109" s="124">
        <f t="shared" si="18"/>
        <v>2.7399999999999998</v>
      </c>
      <c r="K109" s="30">
        <v>30</v>
      </c>
      <c r="L109" s="30">
        <v>353</v>
      </c>
      <c r="M109" s="30">
        <v>3426.4</v>
      </c>
      <c r="N109" s="30">
        <v>0</v>
      </c>
      <c r="O109" s="30">
        <f t="shared" si="19"/>
        <v>19261348.868782617</v>
      </c>
      <c r="P109" s="30">
        <f t="shared" si="20"/>
        <v>17662351.606991429</v>
      </c>
      <c r="Q109" s="49">
        <f t="shared" si="15"/>
        <v>-394277.75204471499</v>
      </c>
      <c r="R109" s="48">
        <f t="shared" si="16"/>
        <v>2.0059281733960783E-2</v>
      </c>
      <c r="T109" s="1"/>
      <c r="U109" s="1"/>
      <c r="V109" s="1"/>
    </row>
    <row r="110" spans="1:40" x14ac:dyDescent="0.2">
      <c r="A110" s="2">
        <v>43800</v>
      </c>
      <c r="B110">
        <f t="shared" si="12"/>
        <v>2019</v>
      </c>
      <c r="C110">
        <f t="shared" si="13"/>
        <v>12</v>
      </c>
      <c r="D110" s="54">
        <v>19169682.92048192</v>
      </c>
      <c r="E110" s="54">
        <v>1598997.2617911876</v>
      </c>
      <c r="F110" s="54">
        <v>20768680.182273109</v>
      </c>
      <c r="G110" s="126">
        <v>334.4</v>
      </c>
      <c r="H110" s="126">
        <v>0</v>
      </c>
      <c r="I110" s="124">
        <f t="shared" si="18"/>
        <v>327.48000000000008</v>
      </c>
      <c r="J110" s="124">
        <f t="shared" si="18"/>
        <v>0</v>
      </c>
      <c r="K110" s="30">
        <v>31</v>
      </c>
      <c r="L110" s="30">
        <v>353</v>
      </c>
      <c r="M110" s="30">
        <v>3428.7</v>
      </c>
      <c r="N110" s="30">
        <v>0</v>
      </c>
      <c r="O110" s="30">
        <f t="shared" si="19"/>
        <v>20732707.454624277</v>
      </c>
      <c r="P110" s="30">
        <f t="shared" si="20"/>
        <v>19133710.192833088</v>
      </c>
      <c r="Q110" s="49">
        <f t="shared" si="15"/>
        <v>-35972.727648831904</v>
      </c>
      <c r="R110" s="48">
        <f t="shared" si="16"/>
        <v>1.7320661367560589E-3</v>
      </c>
      <c r="S110" s="39"/>
      <c r="T110" s="1"/>
      <c r="U110" s="1"/>
      <c r="V110" s="1"/>
    </row>
    <row r="111" spans="1:40" x14ac:dyDescent="0.2">
      <c r="A111" s="2">
        <v>43831</v>
      </c>
      <c r="B111">
        <f t="shared" si="12"/>
        <v>2020</v>
      </c>
      <c r="C111">
        <f t="shared" si="13"/>
        <v>1</v>
      </c>
      <c r="D111" s="54">
        <v>20604412.97349399</v>
      </c>
      <c r="E111" s="54">
        <v>1636084.1636250485</v>
      </c>
      <c r="F111" s="54">
        <v>22240497.13711904</v>
      </c>
      <c r="G111" s="126">
        <v>357</v>
      </c>
      <c r="H111" s="126">
        <v>0</v>
      </c>
      <c r="I111" s="124">
        <f t="shared" si="18"/>
        <v>439.5</v>
      </c>
      <c r="J111" s="124">
        <f t="shared" si="18"/>
        <v>0</v>
      </c>
      <c r="K111" s="30">
        <v>31</v>
      </c>
      <c r="L111" s="30">
        <v>351</v>
      </c>
      <c r="M111" s="30">
        <v>3450.5</v>
      </c>
      <c r="N111" s="30">
        <v>0</v>
      </c>
      <c r="O111" s="30">
        <f t="shared" si="19"/>
        <v>22669362.748539362</v>
      </c>
      <c r="P111" s="30">
        <f t="shared" si="20"/>
        <v>21033278.584914312</v>
      </c>
      <c r="Q111" s="49">
        <f t="shared" si="15"/>
        <v>428865.61142032221</v>
      </c>
      <c r="R111" s="48">
        <f t="shared" si="16"/>
        <v>1.9283094652796779E-2</v>
      </c>
      <c r="S111" s="39"/>
      <c r="AF111" s="37"/>
      <c r="AG111" s="37"/>
      <c r="AH111" s="37"/>
    </row>
    <row r="112" spans="1:40" x14ac:dyDescent="0.2">
      <c r="A112" s="2">
        <v>43862</v>
      </c>
      <c r="B112">
        <f t="shared" si="12"/>
        <v>2020</v>
      </c>
      <c r="C112">
        <f t="shared" si="13"/>
        <v>2</v>
      </c>
      <c r="D112" s="54">
        <v>18719034.313253012</v>
      </c>
      <c r="E112" s="54">
        <v>1636084.1636250485</v>
      </c>
      <c r="F112" s="54">
        <v>20355118.476878062</v>
      </c>
      <c r="G112" s="126">
        <v>379.79999999999995</v>
      </c>
      <c r="H112" s="126">
        <v>0</v>
      </c>
      <c r="I112" s="124">
        <f t="shared" ref="I112:J127" si="21">I100</f>
        <v>403.5</v>
      </c>
      <c r="J112" s="124">
        <f t="shared" si="21"/>
        <v>0</v>
      </c>
      <c r="K112" s="30">
        <v>29</v>
      </c>
      <c r="L112" s="30">
        <v>352</v>
      </c>
      <c r="M112" s="30">
        <v>3456.6</v>
      </c>
      <c r="N112" s="30">
        <v>0</v>
      </c>
      <c r="O112" s="30">
        <f t="shared" si="19"/>
        <v>20478319.870704263</v>
      </c>
      <c r="P112" s="30">
        <f t="shared" si="20"/>
        <v>18842235.707079217</v>
      </c>
      <c r="Q112" s="49">
        <f t="shared" si="15"/>
        <v>123201.39382620156</v>
      </c>
      <c r="R112" s="48">
        <f t="shared" si="16"/>
        <v>6.052600183396103E-3</v>
      </c>
      <c r="S112" s="39"/>
    </row>
    <row r="113" spans="1:19" x14ac:dyDescent="0.2">
      <c r="A113" s="2">
        <v>43891</v>
      </c>
      <c r="B113">
        <f t="shared" si="12"/>
        <v>2020</v>
      </c>
      <c r="C113">
        <f t="shared" si="13"/>
        <v>3</v>
      </c>
      <c r="D113" s="54">
        <v>18127337.445783131</v>
      </c>
      <c r="E113" s="54">
        <v>1636084.1636250485</v>
      </c>
      <c r="F113" s="54">
        <v>19763421.609408177</v>
      </c>
      <c r="G113" s="126">
        <v>214.70000000000005</v>
      </c>
      <c r="H113" s="126">
        <v>0.5</v>
      </c>
      <c r="I113" s="124">
        <f t="shared" si="21"/>
        <v>291.06</v>
      </c>
      <c r="J113" s="124">
        <f t="shared" si="21"/>
        <v>2.8099999999999996</v>
      </c>
      <c r="K113" s="30">
        <v>31</v>
      </c>
      <c r="L113" s="30">
        <v>352</v>
      </c>
      <c r="M113" s="30">
        <v>3387</v>
      </c>
      <c r="N113" s="127">
        <v>0.5</v>
      </c>
      <c r="O113" s="30">
        <f t="shared" si="19"/>
        <v>20175680.144443154</v>
      </c>
      <c r="P113" s="30">
        <f t="shared" si="20"/>
        <v>18539595.980818108</v>
      </c>
      <c r="Q113" s="49">
        <f t="shared" si="15"/>
        <v>412258.5350349769</v>
      </c>
      <c r="R113" s="48">
        <f t="shared" si="16"/>
        <v>2.0859674158786624E-2</v>
      </c>
      <c r="S113" s="39"/>
    </row>
    <row r="114" spans="1:19" x14ac:dyDescent="0.2">
      <c r="A114" s="2">
        <v>43922</v>
      </c>
      <c r="B114">
        <f t="shared" si="12"/>
        <v>2020</v>
      </c>
      <c r="C114">
        <f t="shared" si="13"/>
        <v>4</v>
      </c>
      <c r="D114" s="54">
        <v>15453046.390361452</v>
      </c>
      <c r="E114" s="54">
        <v>1636084.1636250485</v>
      </c>
      <c r="F114" s="54">
        <v>17089130.553986501</v>
      </c>
      <c r="G114" s="126">
        <v>125.50000000000001</v>
      </c>
      <c r="H114" s="126">
        <v>0</v>
      </c>
      <c r="I114" s="124">
        <f t="shared" si="21"/>
        <v>120.71999999999998</v>
      </c>
      <c r="J114" s="124">
        <f t="shared" si="21"/>
        <v>6.58</v>
      </c>
      <c r="K114" s="30">
        <v>30</v>
      </c>
      <c r="L114" s="30">
        <v>351</v>
      </c>
      <c r="M114" s="30">
        <v>3205.9</v>
      </c>
      <c r="N114" s="127">
        <v>1</v>
      </c>
      <c r="O114" s="30">
        <f t="shared" si="19"/>
        <v>17107895.269275222</v>
      </c>
      <c r="P114" s="30">
        <f t="shared" si="20"/>
        <v>15471811.105650174</v>
      </c>
      <c r="Q114" s="49">
        <f t="shared" si="15"/>
        <v>18764.715288721025</v>
      </c>
      <c r="R114" s="48">
        <f t="shared" si="16"/>
        <v>1.0980497357335507E-3</v>
      </c>
      <c r="S114" s="39"/>
    </row>
    <row r="115" spans="1:19" x14ac:dyDescent="0.2">
      <c r="A115" s="2">
        <v>43952</v>
      </c>
      <c r="B115">
        <f t="shared" si="12"/>
        <v>2020</v>
      </c>
      <c r="C115">
        <f t="shared" si="13"/>
        <v>5</v>
      </c>
      <c r="D115" s="54">
        <v>15454141.214457823</v>
      </c>
      <c r="E115" s="54">
        <v>1636084.1636250485</v>
      </c>
      <c r="F115" s="54">
        <v>17090225.378082871</v>
      </c>
      <c r="G115" s="126">
        <v>57.5</v>
      </c>
      <c r="H115" s="126">
        <v>84.300000000000011</v>
      </c>
      <c r="I115" s="124">
        <f t="shared" si="21"/>
        <v>16.330000000000002</v>
      </c>
      <c r="J115" s="124">
        <f t="shared" si="21"/>
        <v>107.25</v>
      </c>
      <c r="K115" s="30">
        <v>31</v>
      </c>
      <c r="L115" s="30">
        <v>353</v>
      </c>
      <c r="M115" s="30">
        <v>3004.2</v>
      </c>
      <c r="N115" s="127">
        <v>1</v>
      </c>
      <c r="O115" s="30">
        <f t="shared" si="19"/>
        <v>17028323.444816392</v>
      </c>
      <c r="P115" s="30">
        <f t="shared" si="20"/>
        <v>15392239.281191343</v>
      </c>
      <c r="Q115" s="49">
        <f t="shared" si="15"/>
        <v>-61901.933266479522</v>
      </c>
      <c r="R115" s="48">
        <f t="shared" si="16"/>
        <v>3.6220665261597323E-3</v>
      </c>
      <c r="S115" s="39"/>
    </row>
    <row r="116" spans="1:19" x14ac:dyDescent="0.2">
      <c r="A116" s="2">
        <v>43983</v>
      </c>
      <c r="B116">
        <f t="shared" si="12"/>
        <v>2020</v>
      </c>
      <c r="C116">
        <f t="shared" si="13"/>
        <v>6</v>
      </c>
      <c r="D116" s="54">
        <v>16762170.409638558</v>
      </c>
      <c r="E116" s="54">
        <v>1636084.1636250485</v>
      </c>
      <c r="F116" s="54">
        <v>18398254.573263608</v>
      </c>
      <c r="G116" s="126">
        <v>0</v>
      </c>
      <c r="H116" s="126">
        <v>253.90000000000003</v>
      </c>
      <c r="I116" s="124">
        <f t="shared" si="21"/>
        <v>0</v>
      </c>
      <c r="J116" s="124">
        <f t="shared" si="21"/>
        <v>230.10000000000005</v>
      </c>
      <c r="K116" s="30">
        <v>30</v>
      </c>
      <c r="L116" s="30">
        <v>349</v>
      </c>
      <c r="M116" s="30">
        <v>2937.8</v>
      </c>
      <c r="N116" s="127">
        <v>0.5</v>
      </c>
      <c r="O116" s="30">
        <f t="shared" si="19"/>
        <v>18240505.68151262</v>
      </c>
      <c r="P116" s="30">
        <f t="shared" si="20"/>
        <v>16604421.517887572</v>
      </c>
      <c r="Q116" s="49">
        <f t="shared" si="15"/>
        <v>-157748.89175098762</v>
      </c>
      <c r="R116" s="48">
        <f t="shared" si="16"/>
        <v>8.5741226768450488E-3</v>
      </c>
      <c r="S116" s="39"/>
    </row>
    <row r="117" spans="1:19" x14ac:dyDescent="0.2">
      <c r="A117" s="2">
        <v>44013</v>
      </c>
      <c r="B117">
        <f t="shared" si="12"/>
        <v>2020</v>
      </c>
      <c r="C117">
        <f t="shared" si="13"/>
        <v>7</v>
      </c>
      <c r="D117" s="54">
        <v>18797709.561445773</v>
      </c>
      <c r="E117" s="54">
        <v>1636084.1636250485</v>
      </c>
      <c r="F117" s="54">
        <v>20433793.725070819</v>
      </c>
      <c r="G117" s="126">
        <v>0</v>
      </c>
      <c r="H117" s="126">
        <v>401.70000000000005</v>
      </c>
      <c r="I117" s="124">
        <f t="shared" si="21"/>
        <v>0</v>
      </c>
      <c r="J117" s="124">
        <f t="shared" si="21"/>
        <v>331.41</v>
      </c>
      <c r="K117" s="30">
        <v>31</v>
      </c>
      <c r="L117" s="30">
        <v>351</v>
      </c>
      <c r="M117" s="30">
        <v>2995.2</v>
      </c>
      <c r="N117" s="127">
        <v>0.5</v>
      </c>
      <c r="O117" s="30">
        <f t="shared" si="19"/>
        <v>19967904.246029768</v>
      </c>
      <c r="P117" s="30">
        <f t="shared" si="20"/>
        <v>18331820.082404718</v>
      </c>
      <c r="Q117" s="49">
        <f t="shared" si="15"/>
        <v>-465889.47904105112</v>
      </c>
      <c r="R117" s="48">
        <f t="shared" si="16"/>
        <v>2.2799950185923512E-2</v>
      </c>
      <c r="S117" s="39"/>
    </row>
    <row r="118" spans="1:19" x14ac:dyDescent="0.2">
      <c r="A118" s="2">
        <v>44044</v>
      </c>
      <c r="B118">
        <f t="shared" si="12"/>
        <v>2020</v>
      </c>
      <c r="C118">
        <f t="shared" si="13"/>
        <v>8</v>
      </c>
      <c r="D118" s="54">
        <v>17872126.101204827</v>
      </c>
      <c r="E118" s="54">
        <v>1636084.1636250485</v>
      </c>
      <c r="F118" s="54">
        <v>19508210.264829874</v>
      </c>
      <c r="G118" s="126">
        <v>0</v>
      </c>
      <c r="H118" s="126">
        <v>311.89999999999998</v>
      </c>
      <c r="I118" s="124">
        <f t="shared" si="21"/>
        <v>0</v>
      </c>
      <c r="J118" s="124">
        <f t="shared" si="21"/>
        <v>304.46000000000004</v>
      </c>
      <c r="K118" s="30">
        <v>31</v>
      </c>
      <c r="L118" s="30">
        <v>353</v>
      </c>
      <c r="M118" s="30">
        <v>3117.5</v>
      </c>
      <c r="N118" s="127">
        <v>0.5</v>
      </c>
      <c r="O118" s="30">
        <f t="shared" si="19"/>
        <v>19458897.16589595</v>
      </c>
      <c r="P118" s="30">
        <f t="shared" si="20"/>
        <v>17822813.0022709</v>
      </c>
      <c r="Q118" s="49">
        <f t="shared" si="15"/>
        <v>-49313.09893392399</v>
      </c>
      <c r="R118" s="48">
        <f t="shared" si="16"/>
        <v>2.527812560172548E-3</v>
      </c>
      <c r="S118" s="39"/>
    </row>
    <row r="119" spans="1:19" x14ac:dyDescent="0.2">
      <c r="A119" s="2">
        <v>44075</v>
      </c>
      <c r="B119">
        <f t="shared" si="12"/>
        <v>2020</v>
      </c>
      <c r="C119">
        <f t="shared" si="13"/>
        <v>9</v>
      </c>
      <c r="D119" s="54">
        <v>16777886.004819278</v>
      </c>
      <c r="E119" s="54">
        <v>1636084.1636250485</v>
      </c>
      <c r="F119" s="54">
        <v>18413970.168444328</v>
      </c>
      <c r="G119" s="126">
        <v>1.1999999999999993</v>
      </c>
      <c r="H119" s="126">
        <v>148.99999999999997</v>
      </c>
      <c r="I119" s="124">
        <f t="shared" si="21"/>
        <v>0.24999999999999983</v>
      </c>
      <c r="J119" s="124">
        <f t="shared" si="21"/>
        <v>176.51</v>
      </c>
      <c r="K119" s="30">
        <v>30</v>
      </c>
      <c r="L119" s="30">
        <v>353</v>
      </c>
      <c r="M119" s="30">
        <v>3214</v>
      </c>
      <c r="N119" s="127">
        <v>0.5</v>
      </c>
      <c r="O119" s="30">
        <f t="shared" si="19"/>
        <v>18591370.87612018</v>
      </c>
      <c r="P119" s="30">
        <f t="shared" si="20"/>
        <v>16955286.712495133</v>
      </c>
      <c r="Q119" s="49">
        <f t="shared" si="15"/>
        <v>177400.70767585188</v>
      </c>
      <c r="R119" s="48">
        <f t="shared" si="16"/>
        <v>9.6340281890898317E-3</v>
      </c>
      <c r="S119" s="39"/>
    </row>
    <row r="120" spans="1:19" x14ac:dyDescent="0.2">
      <c r="A120" s="2">
        <v>44105</v>
      </c>
      <c r="B120">
        <f t="shared" si="12"/>
        <v>2020</v>
      </c>
      <c r="C120">
        <f t="shared" si="13"/>
        <v>10</v>
      </c>
      <c r="D120" s="54">
        <v>16717313.840963854</v>
      </c>
      <c r="E120" s="54">
        <v>1636084.1636250485</v>
      </c>
      <c r="F120" s="54">
        <v>18353398.004588902</v>
      </c>
      <c r="G120" s="126">
        <v>60.7</v>
      </c>
      <c r="H120" s="126">
        <v>14.599999999999998</v>
      </c>
      <c r="I120" s="124">
        <f t="shared" si="21"/>
        <v>44.309999999999995</v>
      </c>
      <c r="J120" s="124">
        <f t="shared" si="21"/>
        <v>43.36</v>
      </c>
      <c r="K120" s="30">
        <v>31</v>
      </c>
      <c r="L120" s="30">
        <v>353</v>
      </c>
      <c r="M120" s="30">
        <v>3300.1</v>
      </c>
      <c r="N120" s="127">
        <v>0.5</v>
      </c>
      <c r="O120" s="30">
        <f t="shared" si="19"/>
        <v>18458820.994160336</v>
      </c>
      <c r="P120" s="30">
        <f t="shared" si="20"/>
        <v>16822736.830535285</v>
      </c>
      <c r="Q120" s="49">
        <f t="shared" si="15"/>
        <v>105422.98957143351</v>
      </c>
      <c r="R120" s="48">
        <f t="shared" si="16"/>
        <v>5.744058377913158E-3</v>
      </c>
      <c r="S120" s="39"/>
    </row>
    <row r="121" spans="1:19" x14ac:dyDescent="0.2">
      <c r="A121" s="2">
        <v>44136</v>
      </c>
      <c r="B121">
        <f t="shared" si="12"/>
        <v>2020</v>
      </c>
      <c r="C121">
        <f t="shared" si="13"/>
        <v>11</v>
      </c>
      <c r="D121" s="54">
        <v>16714084.106024083</v>
      </c>
      <c r="E121" s="54">
        <v>1636084.1636250485</v>
      </c>
      <c r="F121" s="54">
        <v>18350168.269649133</v>
      </c>
      <c r="G121" s="126">
        <v>127.39999999999999</v>
      </c>
      <c r="H121" s="126">
        <v>16</v>
      </c>
      <c r="I121" s="124">
        <f t="shared" si="21"/>
        <v>193.95999999999998</v>
      </c>
      <c r="J121" s="124">
        <f t="shared" si="21"/>
        <v>2.7399999999999998</v>
      </c>
      <c r="K121" s="30">
        <v>30</v>
      </c>
      <c r="L121" s="30">
        <v>357</v>
      </c>
      <c r="M121" s="30">
        <v>3351.5</v>
      </c>
      <c r="N121" s="127">
        <v>0.5</v>
      </c>
      <c r="O121" s="30">
        <f t="shared" si="19"/>
        <v>18608283.178310737</v>
      </c>
      <c r="P121" s="30">
        <f t="shared" si="20"/>
        <v>16972199.01468569</v>
      </c>
      <c r="Q121" s="49">
        <f t="shared" si="15"/>
        <v>258114.90866160393</v>
      </c>
      <c r="R121" s="48">
        <f t="shared" si="16"/>
        <v>1.406607857043587E-2</v>
      </c>
      <c r="S121" s="39"/>
    </row>
    <row r="122" spans="1:19" x14ac:dyDescent="0.2">
      <c r="A122" s="2">
        <v>44166</v>
      </c>
      <c r="B122">
        <f t="shared" si="12"/>
        <v>2020</v>
      </c>
      <c r="C122">
        <f t="shared" si="13"/>
        <v>12</v>
      </c>
      <c r="D122" s="54">
        <v>17734017.175903622</v>
      </c>
      <c r="E122" s="54">
        <v>1636084.1636250485</v>
      </c>
      <c r="F122" s="54">
        <v>19370101.339528672</v>
      </c>
      <c r="G122" s="126">
        <v>319.30000000000007</v>
      </c>
      <c r="H122" s="126">
        <v>0</v>
      </c>
      <c r="I122" s="124">
        <f t="shared" si="21"/>
        <v>327.48000000000008</v>
      </c>
      <c r="J122" s="124">
        <f t="shared" si="21"/>
        <v>0</v>
      </c>
      <c r="K122" s="30">
        <v>31</v>
      </c>
      <c r="L122" s="30">
        <v>358</v>
      </c>
      <c r="M122" s="30">
        <v>3348.3</v>
      </c>
      <c r="N122" s="127">
        <v>0.5</v>
      </c>
      <c r="O122" s="30">
        <f t="shared" si="19"/>
        <v>19412624.014697377</v>
      </c>
      <c r="P122" s="30">
        <f t="shared" si="20"/>
        <v>17776539.851072326</v>
      </c>
      <c r="Q122" s="49">
        <f t="shared" si="15"/>
        <v>42522.675168704242</v>
      </c>
      <c r="R122" s="48">
        <f t="shared" si="16"/>
        <v>2.1952737584252069E-3</v>
      </c>
      <c r="S122" s="39"/>
    </row>
    <row r="123" spans="1:19" x14ac:dyDescent="0.2">
      <c r="A123" s="2">
        <v>44197</v>
      </c>
      <c r="B123">
        <f t="shared" si="12"/>
        <v>2021</v>
      </c>
      <c r="C123">
        <f t="shared" si="13"/>
        <v>1</v>
      </c>
      <c r="D123" s="54">
        <v>19055053.03132531</v>
      </c>
      <c r="E123" s="54">
        <v>1606787.8429761296</v>
      </c>
      <c r="F123" s="54">
        <v>20661840.874301441</v>
      </c>
      <c r="G123" s="126">
        <v>392</v>
      </c>
      <c r="H123" s="126">
        <v>0</v>
      </c>
      <c r="I123" s="124">
        <f t="shared" si="21"/>
        <v>439.5</v>
      </c>
      <c r="J123" s="124">
        <f t="shared" si="21"/>
        <v>0</v>
      </c>
      <c r="K123" s="30">
        <v>31</v>
      </c>
      <c r="L123" s="30">
        <v>359</v>
      </c>
      <c r="M123" s="30">
        <v>3310.5</v>
      </c>
      <c r="N123" s="127">
        <v>0.5</v>
      </c>
      <c r="O123" s="30">
        <f t="shared" si="19"/>
        <v>20908763.499058597</v>
      </c>
      <c r="P123" s="30">
        <f t="shared" si="20"/>
        <v>19301975.656082466</v>
      </c>
      <c r="Q123" s="49">
        <f t="shared" si="15"/>
        <v>246922.62475715578</v>
      </c>
      <c r="R123" s="48">
        <f t="shared" si="16"/>
        <v>1.1950659491539813E-2</v>
      </c>
    </row>
    <row r="124" spans="1:19" x14ac:dyDescent="0.2">
      <c r="A124" s="2">
        <v>44228</v>
      </c>
      <c r="B124">
        <f t="shared" si="12"/>
        <v>2021</v>
      </c>
      <c r="C124">
        <f t="shared" si="13"/>
        <v>2</v>
      </c>
      <c r="D124" s="54">
        <v>17768826.322891563</v>
      </c>
      <c r="E124" s="54">
        <v>1606787.8429761296</v>
      </c>
      <c r="F124" s="54">
        <v>19375614.165867694</v>
      </c>
      <c r="G124" s="126">
        <v>429.7</v>
      </c>
      <c r="H124" s="126">
        <v>0</v>
      </c>
      <c r="I124" s="124">
        <f t="shared" si="21"/>
        <v>403.5</v>
      </c>
      <c r="J124" s="124">
        <f t="shared" si="21"/>
        <v>0</v>
      </c>
      <c r="K124" s="30">
        <v>28</v>
      </c>
      <c r="L124" s="30">
        <v>359</v>
      </c>
      <c r="M124" s="30">
        <v>3272.2</v>
      </c>
      <c r="N124" s="127">
        <v>0.5</v>
      </c>
      <c r="O124" s="30">
        <f t="shared" si="19"/>
        <v>19239416.844422694</v>
      </c>
      <c r="P124" s="30">
        <f t="shared" si="20"/>
        <v>17632629.001446564</v>
      </c>
      <c r="Q124" s="49">
        <f t="shared" si="15"/>
        <v>-136197.32144499943</v>
      </c>
      <c r="R124" s="48">
        <f t="shared" si="16"/>
        <v>7.0293163498747931E-3</v>
      </c>
    </row>
    <row r="125" spans="1:19" x14ac:dyDescent="0.2">
      <c r="A125" s="2">
        <v>44256</v>
      </c>
      <c r="B125">
        <f t="shared" si="12"/>
        <v>2021</v>
      </c>
      <c r="C125">
        <f t="shared" si="13"/>
        <v>3</v>
      </c>
      <c r="D125" s="54">
        <v>17829411.836144578</v>
      </c>
      <c r="E125" s="54">
        <v>1606787.8429761296</v>
      </c>
      <c r="F125" s="54">
        <v>19436199.679120708</v>
      </c>
      <c r="G125" s="126">
        <v>222.10000000000002</v>
      </c>
      <c r="H125" s="126">
        <v>3</v>
      </c>
      <c r="I125" s="124">
        <f t="shared" si="21"/>
        <v>291.06</v>
      </c>
      <c r="J125" s="124">
        <f t="shared" si="21"/>
        <v>2.8099999999999996</v>
      </c>
      <c r="K125" s="30">
        <v>31</v>
      </c>
      <c r="L125" s="30">
        <v>359</v>
      </c>
      <c r="M125" s="30">
        <v>3271.6</v>
      </c>
      <c r="N125" s="127">
        <v>0.5</v>
      </c>
      <c r="O125" s="30">
        <f t="shared" si="19"/>
        <v>19793420.006665494</v>
      </c>
      <c r="P125" s="30">
        <f t="shared" si="20"/>
        <v>18186632.163689364</v>
      </c>
      <c r="Q125" s="49">
        <f t="shared" si="15"/>
        <v>357220.32754478604</v>
      </c>
      <c r="R125" s="48">
        <f t="shared" si="16"/>
        <v>1.8379124182827219E-2</v>
      </c>
    </row>
    <row r="126" spans="1:19" x14ac:dyDescent="0.2">
      <c r="A126" s="2">
        <v>44287</v>
      </c>
      <c r="B126">
        <f t="shared" si="12"/>
        <v>2021</v>
      </c>
      <c r="C126">
        <f t="shared" si="13"/>
        <v>4</v>
      </c>
      <c r="D126" s="54">
        <v>16123617.619277105</v>
      </c>
      <c r="E126" s="54">
        <v>1606787.8429761296</v>
      </c>
      <c r="F126" s="54">
        <v>17730405.462253235</v>
      </c>
      <c r="G126" s="126">
        <v>87.600000000000023</v>
      </c>
      <c r="H126" s="126">
        <v>11.9</v>
      </c>
      <c r="I126" s="124">
        <f t="shared" si="21"/>
        <v>120.71999999999998</v>
      </c>
      <c r="J126" s="124">
        <f t="shared" si="21"/>
        <v>6.58</v>
      </c>
      <c r="K126" s="30">
        <v>30</v>
      </c>
      <c r="L126" s="30">
        <v>359</v>
      </c>
      <c r="M126" s="30">
        <v>3276.5</v>
      </c>
      <c r="N126" s="127">
        <v>0.5</v>
      </c>
      <c r="O126" s="30">
        <f t="shared" si="19"/>
        <v>17867313.994367436</v>
      </c>
      <c r="P126" s="30">
        <f t="shared" si="20"/>
        <v>16260526.151391305</v>
      </c>
      <c r="Q126" s="49">
        <f t="shared" si="15"/>
        <v>136908.53211420029</v>
      </c>
      <c r="R126" s="48">
        <f t="shared" si="16"/>
        <v>7.7216808383580825E-3</v>
      </c>
    </row>
    <row r="127" spans="1:19" x14ac:dyDescent="0.2">
      <c r="A127" s="2">
        <v>44317</v>
      </c>
      <c r="B127">
        <f t="shared" si="12"/>
        <v>2021</v>
      </c>
      <c r="C127">
        <f t="shared" si="13"/>
        <v>5</v>
      </c>
      <c r="D127" s="54">
        <v>16293057.002409624</v>
      </c>
      <c r="E127" s="54">
        <v>1606787.8429761296</v>
      </c>
      <c r="F127" s="54">
        <v>17899844.845385753</v>
      </c>
      <c r="G127" s="126">
        <v>25.399999999999995</v>
      </c>
      <c r="H127" s="126">
        <v>99.40000000000002</v>
      </c>
      <c r="I127" s="124">
        <f t="shared" si="21"/>
        <v>16.330000000000002</v>
      </c>
      <c r="J127" s="124">
        <f t="shared" si="21"/>
        <v>107.25</v>
      </c>
      <c r="K127" s="30">
        <v>31</v>
      </c>
      <c r="L127" s="30">
        <v>359</v>
      </c>
      <c r="M127" s="30">
        <v>3278.1</v>
      </c>
      <c r="N127" s="127">
        <v>0.5</v>
      </c>
      <c r="O127" s="30">
        <f t="shared" si="19"/>
        <v>17904726.241843797</v>
      </c>
      <c r="P127" s="30">
        <f t="shared" si="20"/>
        <v>16297938.398867667</v>
      </c>
      <c r="Q127" s="49">
        <f t="shared" si="15"/>
        <v>4881.3964580446482</v>
      </c>
      <c r="R127" s="48">
        <f t="shared" si="16"/>
        <v>2.7270607651680185E-4</v>
      </c>
    </row>
    <row r="128" spans="1:19" x14ac:dyDescent="0.2">
      <c r="A128" s="2">
        <v>44348</v>
      </c>
      <c r="B128">
        <f t="shared" si="12"/>
        <v>2021</v>
      </c>
      <c r="C128">
        <f t="shared" si="13"/>
        <v>6</v>
      </c>
      <c r="D128" s="54">
        <v>17880539.209638555</v>
      </c>
      <c r="E128" s="54">
        <v>1606787.8429761296</v>
      </c>
      <c r="F128" s="54">
        <v>19487327.052614685</v>
      </c>
      <c r="G128" s="126">
        <v>0</v>
      </c>
      <c r="H128" s="126">
        <v>295.00000000000006</v>
      </c>
      <c r="I128" s="124">
        <f t="shared" ref="I128:J135" si="22">I116</f>
        <v>0</v>
      </c>
      <c r="J128" s="124">
        <f t="shared" si="22"/>
        <v>230.10000000000005</v>
      </c>
      <c r="K128" s="30">
        <v>30</v>
      </c>
      <c r="L128" s="30">
        <v>360</v>
      </c>
      <c r="M128" s="30">
        <v>3288.5</v>
      </c>
      <c r="N128" s="127">
        <v>0.5</v>
      </c>
      <c r="O128" s="30">
        <f t="shared" si="19"/>
        <v>19057163.057881948</v>
      </c>
      <c r="P128" s="30">
        <f t="shared" ref="P128:P134" si="23">O128-E128</f>
        <v>17450375.214905817</v>
      </c>
      <c r="Q128" s="49">
        <f t="shared" si="15"/>
        <v>-430163.99473273754</v>
      </c>
      <c r="R128" s="48">
        <f t="shared" si="16"/>
        <v>2.2074037838607573E-2</v>
      </c>
    </row>
    <row r="129" spans="1:20" x14ac:dyDescent="0.2">
      <c r="A129" s="2">
        <v>44378</v>
      </c>
      <c r="B129">
        <f t="shared" si="12"/>
        <v>2021</v>
      </c>
      <c r="C129">
        <f t="shared" si="13"/>
        <v>7</v>
      </c>
      <c r="D129" s="54">
        <v>18099821.706024084</v>
      </c>
      <c r="E129" s="54">
        <v>1606787.8429761296</v>
      </c>
      <c r="F129" s="54">
        <v>19706609.549000215</v>
      </c>
      <c r="G129" s="126">
        <v>0</v>
      </c>
      <c r="H129" s="126">
        <v>290.3</v>
      </c>
      <c r="I129" s="124">
        <f t="shared" si="22"/>
        <v>0</v>
      </c>
      <c r="J129" s="124">
        <f t="shared" si="22"/>
        <v>331.41</v>
      </c>
      <c r="K129" s="30">
        <v>31</v>
      </c>
      <c r="L129" s="30">
        <v>360</v>
      </c>
      <c r="M129" s="30">
        <v>3332.9</v>
      </c>
      <c r="N129" s="127">
        <v>0.5</v>
      </c>
      <c r="O129" s="30">
        <f t="shared" si="19"/>
        <v>19979090.933028918</v>
      </c>
      <c r="P129" s="30">
        <f t="shared" si="23"/>
        <v>18372303.090052787</v>
      </c>
      <c r="Q129" s="49">
        <f t="shared" si="15"/>
        <v>272481.38402870297</v>
      </c>
      <c r="R129" s="48">
        <f t="shared" si="16"/>
        <v>1.3826903270762114E-2</v>
      </c>
    </row>
    <row r="130" spans="1:20" x14ac:dyDescent="0.2">
      <c r="A130" s="2">
        <v>44409</v>
      </c>
      <c r="B130">
        <f t="shared" si="12"/>
        <v>2021</v>
      </c>
      <c r="C130">
        <f t="shared" si="13"/>
        <v>8</v>
      </c>
      <c r="D130" s="54">
        <v>19993946.689156614</v>
      </c>
      <c r="E130" s="54">
        <v>1606787.8429761296</v>
      </c>
      <c r="F130" s="54">
        <v>21600734.532132745</v>
      </c>
      <c r="G130" s="126">
        <v>0</v>
      </c>
      <c r="H130" s="126">
        <v>365.40000000000003</v>
      </c>
      <c r="I130" s="124">
        <f t="shared" si="22"/>
        <v>0</v>
      </c>
      <c r="J130" s="124">
        <f t="shared" si="22"/>
        <v>304.46000000000004</v>
      </c>
      <c r="K130" s="30">
        <v>31</v>
      </c>
      <c r="L130" s="30">
        <v>331</v>
      </c>
      <c r="M130" s="30">
        <v>3403.5</v>
      </c>
      <c r="N130" s="127">
        <v>0.5</v>
      </c>
      <c r="O130" s="30">
        <f t="shared" si="19"/>
        <v>21196817.831993867</v>
      </c>
      <c r="P130" s="30">
        <f t="shared" si="23"/>
        <v>19590029.989017736</v>
      </c>
      <c r="Q130" s="49">
        <f t="shared" si="15"/>
        <v>-403916.70013887808</v>
      </c>
      <c r="R130" s="48">
        <f t="shared" si="16"/>
        <v>1.8699211341078291E-2</v>
      </c>
    </row>
    <row r="131" spans="1:20" x14ac:dyDescent="0.2">
      <c r="A131" s="2">
        <v>44440</v>
      </c>
      <c r="B131">
        <f t="shared" si="12"/>
        <v>2021</v>
      </c>
      <c r="C131">
        <f t="shared" si="13"/>
        <v>9</v>
      </c>
      <c r="D131" s="54">
        <v>17725189.908433735</v>
      </c>
      <c r="E131" s="54">
        <v>1606787.8429761296</v>
      </c>
      <c r="F131" s="54">
        <v>19331977.751409866</v>
      </c>
      <c r="G131" s="126">
        <v>0</v>
      </c>
      <c r="H131" s="126">
        <v>169.29999999999998</v>
      </c>
      <c r="I131" s="124">
        <f t="shared" si="22"/>
        <v>0.24999999999999983</v>
      </c>
      <c r="J131" s="124">
        <f t="shared" si="22"/>
        <v>176.51</v>
      </c>
      <c r="K131" s="30">
        <v>30</v>
      </c>
      <c r="L131" s="30">
        <v>320</v>
      </c>
      <c r="M131" s="30">
        <v>3457.1</v>
      </c>
      <c r="N131" s="127">
        <v>0.5</v>
      </c>
      <c r="O131" s="30">
        <f t="shared" si="19"/>
        <v>19381065.979025722</v>
      </c>
      <c r="P131" s="30">
        <f t="shared" si="23"/>
        <v>17774278.136049591</v>
      </c>
      <c r="Q131" s="49">
        <f t="shared" si="15"/>
        <v>49088.227615855634</v>
      </c>
      <c r="R131" s="48">
        <f t="shared" si="16"/>
        <v>2.539224297021326E-3</v>
      </c>
    </row>
    <row r="132" spans="1:20" x14ac:dyDescent="0.2">
      <c r="A132" s="2">
        <v>44470</v>
      </c>
      <c r="B132">
        <f t="shared" ref="B132:B158" si="24">YEAR(A132)</f>
        <v>2021</v>
      </c>
      <c r="C132">
        <f t="shared" ref="C132:C158" si="25">MONTH(A132)</f>
        <v>10</v>
      </c>
      <c r="D132" s="54">
        <v>17543608.713253014</v>
      </c>
      <c r="E132" s="54">
        <v>1606787.8429761296</v>
      </c>
      <c r="F132" s="54">
        <v>19150396.556229144</v>
      </c>
      <c r="G132" s="126">
        <v>20.499999999999996</v>
      </c>
      <c r="H132" s="126">
        <v>86.499999999999986</v>
      </c>
      <c r="I132" s="124">
        <f t="shared" si="22"/>
        <v>44.309999999999995</v>
      </c>
      <c r="J132" s="124">
        <f t="shared" si="22"/>
        <v>43.36</v>
      </c>
      <c r="K132" s="30">
        <v>31</v>
      </c>
      <c r="L132" s="30">
        <v>320</v>
      </c>
      <c r="M132" s="30">
        <v>3499.8</v>
      </c>
      <c r="N132" s="127">
        <v>0.5</v>
      </c>
      <c r="O132" s="30">
        <f t="shared" si="19"/>
        <v>18988233.334310167</v>
      </c>
      <c r="P132" s="30">
        <f t="shared" si="23"/>
        <v>17381445.491334036</v>
      </c>
      <c r="Q132" s="49">
        <f t="shared" ref="Q132:Q134" si="26">+O132-F132</f>
        <v>-162163.2219189778</v>
      </c>
      <c r="R132" s="48">
        <f t="shared" ref="R132:R134" si="27">ABS(Q132/F132)</f>
        <v>8.4678780119689049E-3</v>
      </c>
    </row>
    <row r="133" spans="1:20" x14ac:dyDescent="0.2">
      <c r="A133" s="2">
        <v>44501</v>
      </c>
      <c r="B133">
        <f t="shared" si="24"/>
        <v>2021</v>
      </c>
      <c r="C133">
        <f t="shared" si="25"/>
        <v>11</v>
      </c>
      <c r="D133" s="54">
        <v>17668488.221686747</v>
      </c>
      <c r="E133" s="54">
        <v>1606787.8429761296</v>
      </c>
      <c r="F133" s="54">
        <v>19275276.064662877</v>
      </c>
      <c r="G133" s="126">
        <v>175.30000000000004</v>
      </c>
      <c r="H133" s="126">
        <v>0</v>
      </c>
      <c r="I133" s="124">
        <f t="shared" si="22"/>
        <v>193.95999999999998</v>
      </c>
      <c r="J133" s="124">
        <f t="shared" si="22"/>
        <v>2.7399999999999998</v>
      </c>
      <c r="K133" s="30">
        <v>30</v>
      </c>
      <c r="L133" s="30">
        <v>322</v>
      </c>
      <c r="M133" s="30">
        <v>3513.1</v>
      </c>
      <c r="N133" s="127">
        <v>0.5</v>
      </c>
      <c r="O133" s="30">
        <f t="shared" si="19"/>
        <v>19390438.675275031</v>
      </c>
      <c r="P133" s="30">
        <f t="shared" si="23"/>
        <v>17783650.832298901</v>
      </c>
      <c r="Q133" s="49">
        <f t="shared" si="26"/>
        <v>115162.61061215401</v>
      </c>
      <c r="R133" s="48">
        <f t="shared" si="27"/>
        <v>5.9746283386975805E-3</v>
      </c>
    </row>
    <row r="134" spans="1:20" x14ac:dyDescent="0.2">
      <c r="A134" s="2">
        <v>44531</v>
      </c>
      <c r="B134">
        <f t="shared" si="24"/>
        <v>2021</v>
      </c>
      <c r="C134">
        <f t="shared" si="25"/>
        <v>12</v>
      </c>
      <c r="D134" s="54">
        <v>18227991.315662645</v>
      </c>
      <c r="E134" s="54">
        <v>1606787.8429761296</v>
      </c>
      <c r="F134" s="54">
        <v>19834779.158638775</v>
      </c>
      <c r="G134" s="126">
        <v>257.8</v>
      </c>
      <c r="H134" s="126">
        <v>0</v>
      </c>
      <c r="I134" s="124">
        <f t="shared" si="22"/>
        <v>327.48000000000008</v>
      </c>
      <c r="J134" s="124">
        <f t="shared" si="22"/>
        <v>0</v>
      </c>
      <c r="K134" s="30">
        <v>31</v>
      </c>
      <c r="L134" s="30">
        <v>327</v>
      </c>
      <c r="M134" s="30">
        <v>3539.2</v>
      </c>
      <c r="N134" s="127">
        <v>0.5</v>
      </c>
      <c r="O134" s="30">
        <f t="shared" si="19"/>
        <v>20197001.653229903</v>
      </c>
      <c r="P134" s="30">
        <f t="shared" si="23"/>
        <v>18590213.810253773</v>
      </c>
      <c r="Q134" s="49">
        <f t="shared" si="26"/>
        <v>362222.49459112808</v>
      </c>
      <c r="R134" s="48">
        <f t="shared" si="27"/>
        <v>1.8261987778843854E-2</v>
      </c>
      <c r="T134" s="27" t="s">
        <v>11</v>
      </c>
    </row>
    <row r="135" spans="1:20" x14ac:dyDescent="0.2">
      <c r="A135" s="2">
        <v>44562</v>
      </c>
      <c r="B135">
        <f t="shared" si="24"/>
        <v>2022</v>
      </c>
      <c r="C135">
        <f t="shared" si="25"/>
        <v>1</v>
      </c>
      <c r="D135" s="54"/>
      <c r="E135" s="54">
        <v>1526282.737907975</v>
      </c>
      <c r="G135" s="53">
        <v>433.7978947368415</v>
      </c>
      <c r="H135" s="53">
        <v>0</v>
      </c>
      <c r="I135" s="124">
        <f>G135</f>
        <v>433.7978947368415</v>
      </c>
      <c r="J135" s="124">
        <f t="shared" si="22"/>
        <v>0</v>
      </c>
      <c r="K135" s="30">
        <f t="shared" ref="K135:K158" si="28">K87</f>
        <v>31</v>
      </c>
      <c r="L135" s="93">
        <f>'Rate Class Customer Model'!H60</f>
        <v>327.89165950580741</v>
      </c>
      <c r="M135" s="93">
        <v>3428.0227500000001</v>
      </c>
      <c r="N135" s="100">
        <f>T135*0.5</f>
        <v>0.375</v>
      </c>
      <c r="O135" s="30">
        <f t="shared" ref="O135:O158" si="29">$T$9+G135*$T$10+H135*$T$11+K135*$T$12+L135*$T$13+M135*$T$14+N135*$T$15</f>
        <v>20493488.786021862</v>
      </c>
      <c r="P135" s="30">
        <f t="shared" ref="P135:P158" si="30">O135-E135</f>
        <v>18967206.048113886</v>
      </c>
      <c r="Q135" s="49"/>
      <c r="R135" s="48"/>
      <c r="T135">
        <f>'GS &gt; 50 kW'!Q135</f>
        <v>0.75</v>
      </c>
    </row>
    <row r="136" spans="1:20" x14ac:dyDescent="0.2">
      <c r="A136" s="2">
        <v>44593</v>
      </c>
      <c r="B136">
        <f t="shared" si="24"/>
        <v>2022</v>
      </c>
      <c r="C136">
        <f t="shared" si="25"/>
        <v>2</v>
      </c>
      <c r="D136" s="54"/>
      <c r="E136" s="54">
        <f>E135</f>
        <v>1526282.737907975</v>
      </c>
      <c r="G136" s="53">
        <v>400.92210526315807</v>
      </c>
      <c r="H136" s="53">
        <v>0</v>
      </c>
      <c r="I136" s="124">
        <f t="shared" ref="I136:J151" si="31">I124</f>
        <v>403.5</v>
      </c>
      <c r="J136" s="124">
        <f t="shared" si="31"/>
        <v>0</v>
      </c>
      <c r="K136" s="30">
        <f t="shared" si="28"/>
        <v>28</v>
      </c>
      <c r="L136" s="93">
        <f>'Rate Class Customer Model'!H61</f>
        <v>328.78575037759128</v>
      </c>
      <c r="M136" s="93">
        <v>3388.3631</v>
      </c>
      <c r="N136" s="100">
        <f t="shared" ref="N136:N158" si="32">T136*0.5</f>
        <v>0.375</v>
      </c>
      <c r="O136" s="30">
        <f t="shared" si="29"/>
        <v>19115248.009499006</v>
      </c>
      <c r="P136" s="30">
        <f t="shared" si="30"/>
        <v>17588965.27159103</v>
      </c>
      <c r="Q136" s="49"/>
      <c r="R136" s="48"/>
      <c r="T136">
        <f>'GS &gt; 50 kW'!Q136</f>
        <v>0.75</v>
      </c>
    </row>
    <row r="137" spans="1:20" x14ac:dyDescent="0.2">
      <c r="A137" s="2">
        <v>44621</v>
      </c>
      <c r="B137">
        <f t="shared" si="24"/>
        <v>2022</v>
      </c>
      <c r="C137">
        <f t="shared" si="25"/>
        <v>3</v>
      </c>
      <c r="D137" s="54"/>
      <c r="E137" s="54">
        <f t="shared" ref="E137:E146" si="33">E136</f>
        <v>1526282.737907975</v>
      </c>
      <c r="G137" s="53">
        <v>280.64947368421008</v>
      </c>
      <c r="H137" s="53">
        <v>2.076842105263168</v>
      </c>
      <c r="I137" s="124">
        <f t="shared" si="31"/>
        <v>291.06</v>
      </c>
      <c r="J137" s="124">
        <f t="shared" si="31"/>
        <v>2.8099999999999996</v>
      </c>
      <c r="K137" s="30">
        <f t="shared" si="28"/>
        <v>31</v>
      </c>
      <c r="L137" s="93">
        <f>'Rate Class Customer Model'!H62</f>
        <v>329.68227924516987</v>
      </c>
      <c r="M137" s="93">
        <v>3387.7418000000002</v>
      </c>
      <c r="N137" s="100">
        <f t="shared" si="32"/>
        <v>0.375</v>
      </c>
      <c r="O137" s="30">
        <f t="shared" si="29"/>
        <v>19583529.024531603</v>
      </c>
      <c r="P137" s="30">
        <f t="shared" si="30"/>
        <v>18057246.286623627</v>
      </c>
      <c r="Q137" s="49"/>
      <c r="R137" s="48"/>
      <c r="T137">
        <f>'GS &gt; 50 kW'!Q137</f>
        <v>0.75</v>
      </c>
    </row>
    <row r="138" spans="1:20" x14ac:dyDescent="0.2">
      <c r="A138" s="2">
        <v>44652</v>
      </c>
      <c r="B138">
        <f t="shared" si="24"/>
        <v>2022</v>
      </c>
      <c r="C138">
        <f t="shared" si="25"/>
        <v>4</v>
      </c>
      <c r="D138" s="54"/>
      <c r="E138" s="54">
        <f t="shared" si="33"/>
        <v>1526282.737907975</v>
      </c>
      <c r="G138" s="53">
        <v>116.4215789473684</v>
      </c>
      <c r="H138" s="53">
        <v>1.8457894736841354</v>
      </c>
      <c r="I138" s="124">
        <f t="shared" si="31"/>
        <v>120.71999999999998</v>
      </c>
      <c r="J138" s="124">
        <f t="shared" si="31"/>
        <v>6.58</v>
      </c>
      <c r="K138" s="30">
        <f t="shared" si="28"/>
        <v>30</v>
      </c>
      <c r="L138" s="93">
        <f>'Rate Class Customer Model'!H63</f>
        <v>330.5812527564396</v>
      </c>
      <c r="M138" s="93">
        <v>3392.8157500000002</v>
      </c>
      <c r="N138" s="100">
        <f t="shared" si="32"/>
        <v>0.375</v>
      </c>
      <c r="O138" s="30">
        <f t="shared" si="29"/>
        <v>18417198.281993836</v>
      </c>
      <c r="P138" s="30">
        <f t="shared" si="30"/>
        <v>16890915.54408586</v>
      </c>
      <c r="Q138" s="49"/>
      <c r="R138" s="48"/>
      <c r="T138">
        <f>'GS &gt; 50 kW'!Q138</f>
        <v>0.75</v>
      </c>
    </row>
    <row r="139" spans="1:20" x14ac:dyDescent="0.2">
      <c r="A139" s="2">
        <v>44682</v>
      </c>
      <c r="B139">
        <f t="shared" si="24"/>
        <v>2022</v>
      </c>
      <c r="C139">
        <f t="shared" si="25"/>
        <v>5</v>
      </c>
      <c r="D139" s="54"/>
      <c r="E139" s="54">
        <f t="shared" si="33"/>
        <v>1526282.737907975</v>
      </c>
      <c r="G139" s="53">
        <v>18.07578947368421</v>
      </c>
      <c r="H139" s="53">
        <v>117.66947368421097</v>
      </c>
      <c r="I139" s="124">
        <f t="shared" si="31"/>
        <v>16.330000000000002</v>
      </c>
      <c r="J139" s="124">
        <f t="shared" si="31"/>
        <v>107.25</v>
      </c>
      <c r="K139" s="30">
        <f t="shared" si="28"/>
        <v>31</v>
      </c>
      <c r="L139" s="93">
        <f>'Rate Class Customer Model'!H64</f>
        <v>331.48267757742428</v>
      </c>
      <c r="M139" s="93">
        <v>3394.4725500000004</v>
      </c>
      <c r="N139" s="100">
        <f t="shared" si="32"/>
        <v>0.375</v>
      </c>
      <c r="O139" s="30">
        <f t="shared" si="29"/>
        <v>19055664.083142053</v>
      </c>
      <c r="P139" s="30">
        <f t="shared" si="30"/>
        <v>17529381.345234077</v>
      </c>
      <c r="Q139" s="49"/>
      <c r="R139" s="48"/>
      <c r="T139">
        <f>'GS &gt; 50 kW'!Q139</f>
        <v>0.75</v>
      </c>
    </row>
    <row r="140" spans="1:20" x14ac:dyDescent="0.2">
      <c r="A140" s="2">
        <v>44713</v>
      </c>
      <c r="B140">
        <f t="shared" si="24"/>
        <v>2022</v>
      </c>
      <c r="C140">
        <f t="shared" si="25"/>
        <v>6</v>
      </c>
      <c r="D140" s="54"/>
      <c r="E140" s="54">
        <f t="shared" si="33"/>
        <v>1526282.737907975</v>
      </c>
      <c r="G140" s="53">
        <v>0</v>
      </c>
      <c r="H140" s="53">
        <v>236.25999999999976</v>
      </c>
      <c r="I140" s="124">
        <f t="shared" si="31"/>
        <v>0</v>
      </c>
      <c r="J140" s="124">
        <f t="shared" si="31"/>
        <v>230.10000000000005</v>
      </c>
      <c r="K140" s="30">
        <f t="shared" si="28"/>
        <v>30</v>
      </c>
      <c r="L140" s="93">
        <f>'Rate Class Customer Model'!H65</f>
        <v>332.38656039232461</v>
      </c>
      <c r="M140" s="93">
        <v>3405.2417500000001</v>
      </c>
      <c r="N140" s="100">
        <f t="shared" si="32"/>
        <v>0.375</v>
      </c>
      <c r="O140" s="30">
        <f t="shared" si="29"/>
        <v>19460787.48703194</v>
      </c>
      <c r="P140" s="30">
        <f t="shared" si="30"/>
        <v>17934504.749123964</v>
      </c>
      <c r="Q140" s="49"/>
      <c r="R140" s="48"/>
      <c r="T140">
        <f>'GS &gt; 50 kW'!Q140</f>
        <v>0.75</v>
      </c>
    </row>
    <row r="141" spans="1:20" x14ac:dyDescent="0.2">
      <c r="A141" s="2">
        <v>44743</v>
      </c>
      <c r="B141">
        <f t="shared" si="24"/>
        <v>2022</v>
      </c>
      <c r="C141">
        <f t="shared" si="25"/>
        <v>7</v>
      </c>
      <c r="D141" s="54"/>
      <c r="E141" s="54">
        <f t="shared" si="33"/>
        <v>1526282.737907975</v>
      </c>
      <c r="G141" s="53">
        <v>0</v>
      </c>
      <c r="H141" s="53">
        <v>335.7568421052631</v>
      </c>
      <c r="I141" s="124">
        <f t="shared" si="31"/>
        <v>0</v>
      </c>
      <c r="J141" s="124">
        <f t="shared" si="31"/>
        <v>331.41</v>
      </c>
      <c r="K141" s="30">
        <f t="shared" si="28"/>
        <v>31</v>
      </c>
      <c r="L141" s="93">
        <f>'Rate Class Customer Model'!H66</f>
        <v>333.29290790356754</v>
      </c>
      <c r="M141" s="93">
        <v>3451.2179500000002</v>
      </c>
      <c r="N141" s="100">
        <f t="shared" si="32"/>
        <v>0.375</v>
      </c>
      <c r="O141" s="30">
        <f t="shared" si="29"/>
        <v>20689337.320644338</v>
      </c>
      <c r="P141" s="30">
        <f t="shared" si="30"/>
        <v>19163054.582736362</v>
      </c>
      <c r="Q141" s="49"/>
      <c r="R141" s="48"/>
      <c r="T141">
        <f>'GS &gt; 50 kW'!Q141</f>
        <v>0.75</v>
      </c>
    </row>
    <row r="142" spans="1:20" x14ac:dyDescent="0.2">
      <c r="A142" s="2">
        <v>44774</v>
      </c>
      <c r="B142">
        <f t="shared" si="24"/>
        <v>2022</v>
      </c>
      <c r="C142">
        <f t="shared" si="25"/>
        <v>8</v>
      </c>
      <c r="D142" s="54"/>
      <c r="E142" s="54">
        <f t="shared" si="33"/>
        <v>1526282.737907975</v>
      </c>
      <c r="G142" s="53">
        <v>0</v>
      </c>
      <c r="H142" s="53">
        <v>315.05842105263173</v>
      </c>
      <c r="I142" s="124">
        <f t="shared" si="31"/>
        <v>0</v>
      </c>
      <c r="J142" s="124">
        <f t="shared" si="31"/>
        <v>304.46000000000004</v>
      </c>
      <c r="K142" s="30">
        <f t="shared" si="28"/>
        <v>31</v>
      </c>
      <c r="L142" s="93">
        <f>'Rate Class Customer Model'!H67</f>
        <v>334.20172683185626</v>
      </c>
      <c r="M142" s="93">
        <v>3524.3242500000001</v>
      </c>
      <c r="N142" s="100">
        <f t="shared" si="32"/>
        <v>0.375</v>
      </c>
      <c r="O142" s="30">
        <f t="shared" si="29"/>
        <v>20881992.51631761</v>
      </c>
      <c r="P142" s="30">
        <f t="shared" si="30"/>
        <v>19355709.778409634</v>
      </c>
      <c r="Q142" s="49"/>
      <c r="R142" s="48"/>
      <c r="T142">
        <f>'GS &gt; 50 kW'!Q142</f>
        <v>0.75</v>
      </c>
    </row>
    <row r="143" spans="1:20" x14ac:dyDescent="0.2">
      <c r="A143" s="2">
        <v>44805</v>
      </c>
      <c r="B143">
        <f t="shared" si="24"/>
        <v>2022</v>
      </c>
      <c r="C143">
        <f t="shared" si="25"/>
        <v>9</v>
      </c>
      <c r="D143" s="54"/>
      <c r="E143" s="54">
        <f t="shared" si="33"/>
        <v>1526282.737907975</v>
      </c>
      <c r="G143" s="53">
        <v>0.18105263157895024</v>
      </c>
      <c r="H143" s="53">
        <v>172.83631578947367</v>
      </c>
      <c r="I143" s="124">
        <f t="shared" si="31"/>
        <v>0.24999999999999983</v>
      </c>
      <c r="J143" s="124">
        <f t="shared" si="31"/>
        <v>176.51</v>
      </c>
      <c r="K143" s="30">
        <f t="shared" si="28"/>
        <v>30</v>
      </c>
      <c r="L143" s="93">
        <f>'Rate Class Customer Model'!H68</f>
        <v>335.11302391621979</v>
      </c>
      <c r="M143" s="93">
        <v>3579.8270500000003</v>
      </c>
      <c r="N143" s="100">
        <f t="shared" si="32"/>
        <v>0.375</v>
      </c>
      <c r="O143" s="30">
        <f t="shared" si="29"/>
        <v>19842196.505693499</v>
      </c>
      <c r="P143" s="30">
        <f t="shared" si="30"/>
        <v>18315913.767785523</v>
      </c>
      <c r="Q143" s="49"/>
      <c r="R143" s="48"/>
      <c r="T143">
        <f>'GS &gt; 50 kW'!Q143</f>
        <v>0.75</v>
      </c>
    </row>
    <row r="144" spans="1:20" x14ac:dyDescent="0.2">
      <c r="A144" s="2">
        <v>44835</v>
      </c>
      <c r="B144">
        <f t="shared" si="24"/>
        <v>2022</v>
      </c>
      <c r="C144">
        <f t="shared" si="25"/>
        <v>10</v>
      </c>
      <c r="D144" s="54"/>
      <c r="E144" s="54">
        <f t="shared" si="33"/>
        <v>1526282.737907975</v>
      </c>
      <c r="G144" s="53">
        <v>37.205263157894933</v>
      </c>
      <c r="H144" s="53">
        <v>48.010000000000218</v>
      </c>
      <c r="I144" s="124">
        <f t="shared" si="31"/>
        <v>44.309999999999995</v>
      </c>
      <c r="J144" s="124">
        <f t="shared" si="31"/>
        <v>43.36</v>
      </c>
      <c r="K144" s="30">
        <f t="shared" si="28"/>
        <v>31</v>
      </c>
      <c r="L144" s="93">
        <f>'Rate Class Customer Model'!H69</f>
        <v>336.02680591406312</v>
      </c>
      <c r="M144" s="93">
        <v>3624.0429000000004</v>
      </c>
      <c r="N144" s="100">
        <f t="shared" si="32"/>
        <v>0.375</v>
      </c>
      <c r="O144" s="30">
        <f t="shared" si="29"/>
        <v>19769124.787758034</v>
      </c>
      <c r="P144" s="30">
        <f t="shared" si="30"/>
        <v>18242842.049850058</v>
      </c>
      <c r="Q144" s="49"/>
      <c r="R144" s="48"/>
      <c r="T144">
        <f>'GS &gt; 50 kW'!Q144</f>
        <v>0.75</v>
      </c>
    </row>
    <row r="145" spans="1:20" x14ac:dyDescent="0.2">
      <c r="A145" s="2">
        <v>44866</v>
      </c>
      <c r="B145">
        <f t="shared" si="24"/>
        <v>2022</v>
      </c>
      <c r="C145">
        <f t="shared" si="25"/>
        <v>11</v>
      </c>
      <c r="D145" s="54"/>
      <c r="E145" s="54">
        <f t="shared" si="33"/>
        <v>1526282.737907975</v>
      </c>
      <c r="G145" s="53">
        <v>193.53736842105263</v>
      </c>
      <c r="H145" s="53">
        <v>3.8163157894736628</v>
      </c>
      <c r="I145" s="124">
        <f t="shared" si="31"/>
        <v>193.95999999999998</v>
      </c>
      <c r="J145" s="124">
        <f t="shared" si="31"/>
        <v>2.7399999999999998</v>
      </c>
      <c r="K145" s="30">
        <f t="shared" si="28"/>
        <v>30</v>
      </c>
      <c r="L145" s="93">
        <f>'Rate Class Customer Model'!H70</f>
        <v>336.94307960121716</v>
      </c>
      <c r="M145" s="93">
        <v>3637.8150500000002</v>
      </c>
      <c r="N145" s="100">
        <f t="shared" si="32"/>
        <v>0.375</v>
      </c>
      <c r="O145" s="30">
        <f t="shared" si="29"/>
        <v>20014894.009485949</v>
      </c>
      <c r="P145" s="30">
        <f t="shared" si="30"/>
        <v>18488611.271577973</v>
      </c>
      <c r="Q145" s="49"/>
      <c r="R145" s="48"/>
      <c r="T145">
        <f>'GS &gt; 50 kW'!Q145</f>
        <v>0.75</v>
      </c>
    </row>
    <row r="146" spans="1:20" x14ac:dyDescent="0.2">
      <c r="A146" s="2">
        <v>44896</v>
      </c>
      <c r="B146">
        <f t="shared" si="24"/>
        <v>2022</v>
      </c>
      <c r="C146">
        <f t="shared" si="25"/>
        <v>12</v>
      </c>
      <c r="D146" s="54"/>
      <c r="E146" s="54">
        <f t="shared" si="33"/>
        <v>1526282.737907975</v>
      </c>
      <c r="G146" s="53">
        <v>313.92473684210563</v>
      </c>
      <c r="H146" s="53">
        <v>0</v>
      </c>
      <c r="I146" s="124">
        <f t="shared" si="31"/>
        <v>327.48000000000008</v>
      </c>
      <c r="J146" s="124">
        <f t="shared" si="31"/>
        <v>0</v>
      </c>
      <c r="K146" s="30">
        <f t="shared" si="28"/>
        <v>31</v>
      </c>
      <c r="L146" s="93">
        <f>'Rate Class Customer Model'!H71</f>
        <v>337.86185177198917</v>
      </c>
      <c r="M146" s="93">
        <v>3664.8416000000002</v>
      </c>
      <c r="N146" s="100">
        <f t="shared" si="32"/>
        <v>0.375</v>
      </c>
      <c r="O146" s="30">
        <f t="shared" si="29"/>
        <v>21104852.743541077</v>
      </c>
      <c r="P146" s="30">
        <f t="shared" si="30"/>
        <v>19578570.005633101</v>
      </c>
      <c r="Q146" s="49"/>
      <c r="R146" s="48"/>
      <c r="T146">
        <f>'GS &gt; 50 kW'!Q146</f>
        <v>0.75</v>
      </c>
    </row>
    <row r="147" spans="1:20" x14ac:dyDescent="0.2">
      <c r="A147" s="2">
        <v>44927</v>
      </c>
      <c r="B147">
        <f t="shared" si="24"/>
        <v>2023</v>
      </c>
      <c r="C147">
        <f t="shared" si="25"/>
        <v>1</v>
      </c>
      <c r="D147" s="54"/>
      <c r="E147" s="54">
        <v>1436531.919145507</v>
      </c>
      <c r="G147" s="53">
        <v>431.90721804511259</v>
      </c>
      <c r="H147" s="53">
        <v>0</v>
      </c>
      <c r="I147" s="124">
        <f t="shared" si="31"/>
        <v>433.7978947368415</v>
      </c>
      <c r="J147" s="124">
        <f t="shared" si="31"/>
        <v>0</v>
      </c>
      <c r="K147" s="30">
        <f t="shared" si="28"/>
        <v>31</v>
      </c>
      <c r="L147" s="93">
        <f>'Rate Class Customer Model'!H72</f>
        <v>338.783129239213</v>
      </c>
      <c r="M147" s="93">
        <v>3489.7271595000002</v>
      </c>
      <c r="N147" s="100">
        <f t="shared" si="32"/>
        <v>0.25</v>
      </c>
      <c r="O147" s="30">
        <f t="shared" si="29"/>
        <v>21170034.962433871</v>
      </c>
      <c r="P147" s="30">
        <f t="shared" si="30"/>
        <v>19733503.043288365</v>
      </c>
      <c r="Q147" s="49"/>
      <c r="R147" s="48"/>
      <c r="T147">
        <f>'GS &gt; 50 kW'!Q147</f>
        <v>0.5</v>
      </c>
    </row>
    <row r="148" spans="1:20" x14ac:dyDescent="0.2">
      <c r="A148" s="2">
        <v>44958</v>
      </c>
      <c r="B148">
        <f t="shared" si="24"/>
        <v>2023</v>
      </c>
      <c r="C148">
        <f t="shared" si="25"/>
        <v>2</v>
      </c>
      <c r="D148" s="54"/>
      <c r="E148" s="54">
        <f>E147</f>
        <v>1436531.919145507</v>
      </c>
      <c r="G148" s="53">
        <v>400.32278195488743</v>
      </c>
      <c r="H148" s="53">
        <v>0</v>
      </c>
      <c r="I148" s="124">
        <f t="shared" si="31"/>
        <v>403.5</v>
      </c>
      <c r="J148" s="124">
        <f t="shared" si="31"/>
        <v>0</v>
      </c>
      <c r="K148" s="30">
        <f t="shared" si="28"/>
        <v>28</v>
      </c>
      <c r="L148" s="93">
        <f>'Rate Class Customer Model'!H73</f>
        <v>339.70691883429964</v>
      </c>
      <c r="M148" s="93">
        <v>3449.3536358000001</v>
      </c>
      <c r="N148" s="100">
        <f t="shared" si="32"/>
        <v>0.25</v>
      </c>
      <c r="O148" s="30">
        <f t="shared" si="29"/>
        <v>19796197.604393948</v>
      </c>
      <c r="P148" s="30">
        <f t="shared" si="30"/>
        <v>18359665.685248442</v>
      </c>
      <c r="Q148" s="49"/>
      <c r="R148" s="48"/>
      <c r="T148">
        <f>'GS &gt; 50 kW'!Q148</f>
        <v>0.5</v>
      </c>
    </row>
    <row r="149" spans="1:20" x14ac:dyDescent="0.2">
      <c r="A149" s="2">
        <v>44986</v>
      </c>
      <c r="B149">
        <f t="shared" si="24"/>
        <v>2023</v>
      </c>
      <c r="C149">
        <f t="shared" si="25"/>
        <v>3</v>
      </c>
      <c r="D149" s="54"/>
      <c r="E149" s="54">
        <f t="shared" ref="E149:E158" si="34">E148</f>
        <v>1436531.919145507</v>
      </c>
      <c r="G149" s="53">
        <v>279.42180451127797</v>
      </c>
      <c r="H149" s="53">
        <v>2.1322556390977496</v>
      </c>
      <c r="I149" s="124">
        <f t="shared" si="31"/>
        <v>291.06</v>
      </c>
      <c r="J149" s="124">
        <f t="shared" si="31"/>
        <v>2.8099999999999996</v>
      </c>
      <c r="K149" s="30">
        <f t="shared" si="28"/>
        <v>31</v>
      </c>
      <c r="L149" s="93">
        <f>'Rate Class Customer Model'!H74</f>
        <v>340.63322740728785</v>
      </c>
      <c r="M149" s="93">
        <v>3448.7211524000004</v>
      </c>
      <c r="N149" s="100">
        <f t="shared" si="32"/>
        <v>0.25</v>
      </c>
      <c r="O149" s="30">
        <f t="shared" si="29"/>
        <v>20262235.981460541</v>
      </c>
      <c r="P149" s="30">
        <f t="shared" si="30"/>
        <v>18825704.062315036</v>
      </c>
      <c r="Q149" s="49"/>
      <c r="R149" s="48"/>
      <c r="T149">
        <f>'GS &gt; 50 kW'!Q149</f>
        <v>0.5</v>
      </c>
    </row>
    <row r="150" spans="1:20" x14ac:dyDescent="0.2">
      <c r="A150" s="2">
        <v>45017</v>
      </c>
      <c r="B150">
        <f t="shared" si="24"/>
        <v>2023</v>
      </c>
      <c r="C150">
        <f t="shared" si="25"/>
        <v>4</v>
      </c>
      <c r="D150" s="54"/>
      <c r="E150" s="54">
        <f t="shared" si="34"/>
        <v>1436531.919145507</v>
      </c>
      <c r="G150" s="53">
        <v>116.88744360902251</v>
      </c>
      <c r="H150" s="53">
        <v>0.86015037593983834</v>
      </c>
      <c r="I150" s="124">
        <f t="shared" si="31"/>
        <v>120.71999999999998</v>
      </c>
      <c r="J150" s="124">
        <f t="shared" si="31"/>
        <v>6.58</v>
      </c>
      <c r="K150" s="30">
        <f t="shared" si="28"/>
        <v>30</v>
      </c>
      <c r="L150" s="93">
        <f>'Rate Class Customer Model'!H75</f>
        <v>341.5620618268951</v>
      </c>
      <c r="M150" s="93">
        <v>3453.8864335000003</v>
      </c>
      <c r="N150" s="100">
        <f t="shared" si="32"/>
        <v>0.25</v>
      </c>
      <c r="O150" s="30">
        <f t="shared" si="29"/>
        <v>19098899.440694857</v>
      </c>
      <c r="P150" s="30">
        <f t="shared" si="30"/>
        <v>17662367.521549352</v>
      </c>
      <c r="Q150" s="49"/>
      <c r="R150" s="48"/>
      <c r="T150">
        <f>'GS &gt; 50 kW'!Q150</f>
        <v>0.5</v>
      </c>
    </row>
    <row r="151" spans="1:20" x14ac:dyDescent="0.2">
      <c r="A151" s="2">
        <v>45047</v>
      </c>
      <c r="B151">
        <f t="shared" si="24"/>
        <v>2023</v>
      </c>
      <c r="C151">
        <f t="shared" si="25"/>
        <v>5</v>
      </c>
      <c r="D151" s="54"/>
      <c r="E151" s="54">
        <f t="shared" si="34"/>
        <v>1436531.919145507</v>
      </c>
      <c r="G151" s="53">
        <v>18.215864661654166</v>
      </c>
      <c r="H151" s="53">
        <v>120.24037593985031</v>
      </c>
      <c r="I151" s="124">
        <f t="shared" si="31"/>
        <v>16.330000000000002</v>
      </c>
      <c r="J151" s="124">
        <f t="shared" si="31"/>
        <v>107.25</v>
      </c>
      <c r="K151" s="30">
        <f t="shared" si="28"/>
        <v>31</v>
      </c>
      <c r="L151" s="93">
        <f>'Rate Class Customer Model'!H76</f>
        <v>342.4934289805683</v>
      </c>
      <c r="M151" s="93">
        <v>3455.5730559000003</v>
      </c>
      <c r="N151" s="100">
        <f t="shared" si="32"/>
        <v>0.25</v>
      </c>
      <c r="O151" s="30">
        <f t="shared" si="29"/>
        <v>19760078.057072032</v>
      </c>
      <c r="P151" s="30">
        <f t="shared" si="30"/>
        <v>18323546.137926526</v>
      </c>
      <c r="Q151" s="49"/>
      <c r="R151" s="48"/>
      <c r="T151">
        <f>'GS &gt; 50 kW'!Q151</f>
        <v>0.5</v>
      </c>
    </row>
    <row r="152" spans="1:20" x14ac:dyDescent="0.2">
      <c r="A152" s="2">
        <v>45078</v>
      </c>
      <c r="B152">
        <f t="shared" si="24"/>
        <v>2023</v>
      </c>
      <c r="C152">
        <f t="shared" si="25"/>
        <v>6</v>
      </c>
      <c r="D152" s="54"/>
      <c r="E152" s="54">
        <f t="shared" si="34"/>
        <v>1436531.919145507</v>
      </c>
      <c r="G152" s="53">
        <v>0</v>
      </c>
      <c r="H152" s="53">
        <v>237.27142857142849</v>
      </c>
      <c r="I152" s="124">
        <f t="shared" ref="I152:J158" si="35">I140</f>
        <v>0</v>
      </c>
      <c r="J152" s="124">
        <f t="shared" si="35"/>
        <v>230.10000000000005</v>
      </c>
      <c r="K152" s="30">
        <f t="shared" si="28"/>
        <v>30</v>
      </c>
      <c r="L152" s="93">
        <f>'Rate Class Customer Model'!H77</f>
        <v>343.42733577453498</v>
      </c>
      <c r="M152" s="93">
        <v>3466.5361015000003</v>
      </c>
      <c r="N152" s="100">
        <f t="shared" si="32"/>
        <v>0.25</v>
      </c>
      <c r="O152" s="30">
        <f t="shared" si="29"/>
        <v>20155664.008079756</v>
      </c>
      <c r="P152" s="30">
        <f t="shared" si="30"/>
        <v>18719132.08893425</v>
      </c>
      <c r="Q152" s="49"/>
      <c r="R152" s="48"/>
      <c r="T152">
        <f>'GS &gt; 50 kW'!Q152</f>
        <v>0.5</v>
      </c>
    </row>
    <row r="153" spans="1:20" x14ac:dyDescent="0.2">
      <c r="A153" s="2">
        <v>45108</v>
      </c>
      <c r="B153">
        <f t="shared" si="24"/>
        <v>2023</v>
      </c>
      <c r="C153">
        <f t="shared" si="25"/>
        <v>7</v>
      </c>
      <c r="D153" s="54"/>
      <c r="E153" s="54">
        <f t="shared" si="34"/>
        <v>1436531.919145507</v>
      </c>
      <c r="G153" s="53">
        <v>0</v>
      </c>
      <c r="H153" s="53">
        <v>336.61368421052634</v>
      </c>
      <c r="I153" s="124">
        <f t="shared" si="35"/>
        <v>0</v>
      </c>
      <c r="J153" s="124">
        <f t="shared" si="35"/>
        <v>331.41</v>
      </c>
      <c r="K153" s="30">
        <f t="shared" si="28"/>
        <v>31</v>
      </c>
      <c r="L153" s="93">
        <f>'Rate Class Customer Model'!H78</f>
        <v>344.36378913385448</v>
      </c>
      <c r="M153" s="93">
        <v>3513.3398731000002</v>
      </c>
      <c r="N153" s="100">
        <f t="shared" si="32"/>
        <v>0.25</v>
      </c>
      <c r="O153" s="30">
        <f t="shared" si="29"/>
        <v>21387391.376275301</v>
      </c>
      <c r="P153" s="30">
        <f t="shared" si="30"/>
        <v>19950859.457129795</v>
      </c>
      <c r="Q153" s="49"/>
      <c r="R153" s="48"/>
      <c r="T153">
        <f>'GS &gt; 50 kW'!Q153</f>
        <v>0.5</v>
      </c>
    </row>
    <row r="154" spans="1:20" x14ac:dyDescent="0.2">
      <c r="A154" s="2">
        <v>45139</v>
      </c>
      <c r="B154">
        <f t="shared" si="24"/>
        <v>2023</v>
      </c>
      <c r="C154">
        <f t="shared" si="25"/>
        <v>8</v>
      </c>
      <c r="D154" s="54"/>
      <c r="E154" s="54">
        <f t="shared" si="34"/>
        <v>1436531.919145507</v>
      </c>
      <c r="G154" s="53">
        <v>0</v>
      </c>
      <c r="H154" s="53">
        <v>316.56398496240627</v>
      </c>
      <c r="I154" s="124">
        <f t="shared" si="35"/>
        <v>0</v>
      </c>
      <c r="J154" s="124">
        <f t="shared" si="35"/>
        <v>304.46000000000004</v>
      </c>
      <c r="K154" s="30">
        <f t="shared" si="28"/>
        <v>31</v>
      </c>
      <c r="L154" s="93">
        <f>'Rate Class Customer Model'!H79</f>
        <v>345.30279600246934</v>
      </c>
      <c r="M154" s="93">
        <v>3587.7620865000004</v>
      </c>
      <c r="N154" s="100">
        <f t="shared" si="32"/>
        <v>0.25</v>
      </c>
      <c r="O154" s="30">
        <f t="shared" si="29"/>
        <v>21590610.355998609</v>
      </c>
      <c r="P154" s="30">
        <f t="shared" si="30"/>
        <v>20154078.436853103</v>
      </c>
      <c r="Q154" s="49"/>
      <c r="R154" s="48"/>
      <c r="T154">
        <f>'GS &gt; 50 kW'!Q154</f>
        <v>0.5</v>
      </c>
    </row>
    <row r="155" spans="1:20" x14ac:dyDescent="0.2">
      <c r="A155" s="2">
        <v>45170</v>
      </c>
      <c r="B155">
        <f t="shared" si="24"/>
        <v>2023</v>
      </c>
      <c r="C155">
        <f t="shared" si="25"/>
        <v>9</v>
      </c>
      <c r="D155" s="54"/>
      <c r="E155" s="54">
        <f t="shared" si="34"/>
        <v>1436531.919145507</v>
      </c>
      <c r="G155" s="53">
        <v>0.16639097744361209</v>
      </c>
      <c r="H155" s="53">
        <v>172.72120300751877</v>
      </c>
      <c r="I155" s="124">
        <f t="shared" si="35"/>
        <v>0.24999999999999983</v>
      </c>
      <c r="J155" s="124">
        <f t="shared" si="35"/>
        <v>176.51</v>
      </c>
      <c r="K155" s="30">
        <f t="shared" si="28"/>
        <v>30</v>
      </c>
      <c r="L155" s="93">
        <f>'Rate Class Customer Model'!H80</f>
        <v>346.24436334325674</v>
      </c>
      <c r="M155" s="93">
        <v>3644.2639369000003</v>
      </c>
      <c r="N155" s="100">
        <f t="shared" si="32"/>
        <v>0.25</v>
      </c>
      <c r="O155" s="30">
        <f t="shared" si="29"/>
        <v>20544925.471447103</v>
      </c>
      <c r="P155" s="30">
        <f t="shared" si="30"/>
        <v>19108393.552301597</v>
      </c>
      <c r="Q155" s="49"/>
      <c r="R155" s="48"/>
      <c r="T155">
        <f>'GS &gt; 50 kW'!Q155</f>
        <v>0.5</v>
      </c>
    </row>
    <row r="156" spans="1:20" x14ac:dyDescent="0.2">
      <c r="A156" s="2">
        <v>45200</v>
      </c>
      <c r="B156">
        <f t="shared" si="24"/>
        <v>2023</v>
      </c>
      <c r="C156">
        <f t="shared" si="25"/>
        <v>10</v>
      </c>
      <c r="D156" s="54"/>
      <c r="E156" s="54">
        <f t="shared" si="34"/>
        <v>1436531.919145507</v>
      </c>
      <c r="G156" s="53">
        <v>36.129097744360934</v>
      </c>
      <c r="H156" s="53">
        <v>48.954285714285788</v>
      </c>
      <c r="I156" s="124">
        <f t="shared" si="35"/>
        <v>44.309999999999995</v>
      </c>
      <c r="J156" s="124">
        <f t="shared" si="35"/>
        <v>43.36</v>
      </c>
      <c r="K156" s="30">
        <f t="shared" si="28"/>
        <v>31</v>
      </c>
      <c r="L156" s="93">
        <f>'Rate Class Customer Model'!H81</f>
        <v>347.18849813808015</v>
      </c>
      <c r="M156" s="93">
        <v>3689.2756722000004</v>
      </c>
      <c r="N156" s="100">
        <f t="shared" si="32"/>
        <v>0.25</v>
      </c>
      <c r="O156" s="30">
        <f t="shared" si="29"/>
        <v>20477431.794392783</v>
      </c>
      <c r="P156" s="30">
        <f t="shared" si="30"/>
        <v>19040899.875247277</v>
      </c>
      <c r="Q156" s="49"/>
      <c r="R156" s="48"/>
      <c r="T156">
        <f>'GS &gt; 50 kW'!Q156</f>
        <v>0.5</v>
      </c>
    </row>
    <row r="157" spans="1:20" x14ac:dyDescent="0.2">
      <c r="A157" s="2">
        <v>45231</v>
      </c>
      <c r="B157">
        <f t="shared" si="24"/>
        <v>2023</v>
      </c>
      <c r="C157">
        <f t="shared" si="25"/>
        <v>11</v>
      </c>
      <c r="D157" s="54"/>
      <c r="E157" s="54">
        <f t="shared" si="34"/>
        <v>1436531.919145507</v>
      </c>
      <c r="G157" s="53">
        <v>194.78330827067657</v>
      </c>
      <c r="H157" s="53">
        <v>3.9940601503759012</v>
      </c>
      <c r="I157" s="124">
        <f t="shared" si="35"/>
        <v>193.95999999999998</v>
      </c>
      <c r="J157" s="124">
        <f t="shared" si="35"/>
        <v>2.7399999999999998</v>
      </c>
      <c r="K157" s="30">
        <f t="shared" si="28"/>
        <v>30</v>
      </c>
      <c r="L157" s="93">
        <f>'Rate Class Customer Model'!H82</f>
        <v>348.13520738784104</v>
      </c>
      <c r="M157" s="93">
        <v>3703.2957209000001</v>
      </c>
      <c r="N157" s="100">
        <f t="shared" si="32"/>
        <v>0.25</v>
      </c>
      <c r="O157" s="30">
        <f t="shared" si="29"/>
        <v>20731956.258086212</v>
      </c>
      <c r="P157" s="30">
        <f t="shared" si="30"/>
        <v>19295424.338940706</v>
      </c>
      <c r="Q157" s="49"/>
      <c r="R157" s="48"/>
      <c r="T157">
        <f>'GS &gt; 50 kW'!Q157</f>
        <v>0.5</v>
      </c>
    </row>
    <row r="158" spans="1:20" x14ac:dyDescent="0.2">
      <c r="A158" s="2">
        <v>45261</v>
      </c>
      <c r="B158">
        <f t="shared" si="24"/>
        <v>2023</v>
      </c>
      <c r="C158">
        <f t="shared" si="25"/>
        <v>12</v>
      </c>
      <c r="D158" s="54"/>
      <c r="E158" s="54">
        <f t="shared" si="34"/>
        <v>1436531.919145507</v>
      </c>
      <c r="G158" s="53">
        <v>310.90947368421075</v>
      </c>
      <c r="H158" s="53">
        <v>0</v>
      </c>
      <c r="I158" s="124">
        <f t="shared" si="35"/>
        <v>327.48000000000008</v>
      </c>
      <c r="J158" s="124">
        <f t="shared" si="35"/>
        <v>0</v>
      </c>
      <c r="K158" s="30">
        <f t="shared" si="28"/>
        <v>31</v>
      </c>
      <c r="L158" s="93">
        <f>'Rate Class Customer Model'!H83</f>
        <v>349.08449811253098</v>
      </c>
      <c r="M158" s="93">
        <v>3730.8087488000001</v>
      </c>
      <c r="N158" s="100">
        <f t="shared" si="32"/>
        <v>0.25</v>
      </c>
      <c r="O158" s="30">
        <f t="shared" si="29"/>
        <v>21801358.686620064</v>
      </c>
      <c r="P158" s="30">
        <f t="shared" si="30"/>
        <v>20364826.767474558</v>
      </c>
      <c r="Q158" s="49"/>
      <c r="R158" s="48"/>
      <c r="T158">
        <f>'GS &gt; 50 kW'!Q158</f>
        <v>0.5</v>
      </c>
    </row>
    <row r="159" spans="1:20" x14ac:dyDescent="0.2">
      <c r="A159" s="2"/>
      <c r="B159" s="2"/>
      <c r="C159" s="2"/>
      <c r="D159" s="54"/>
      <c r="E159" s="54"/>
      <c r="G159" s="50"/>
      <c r="H159" s="50"/>
      <c r="I159" s="50"/>
      <c r="J159" s="50"/>
      <c r="K159" s="30"/>
      <c r="L159" s="30"/>
      <c r="M159" s="30"/>
      <c r="O159" s="30"/>
      <c r="P159" s="30"/>
      <c r="Q159" s="49"/>
      <c r="R159" s="77"/>
    </row>
    <row r="160" spans="1:20" x14ac:dyDescent="0.2">
      <c r="A160" s="2"/>
      <c r="B160" s="2"/>
      <c r="C160" s="2"/>
      <c r="D160" s="2"/>
      <c r="E160" s="2"/>
      <c r="G160" s="50">
        <f>SUM(G3:G159)</f>
        <v>23802.258646616545</v>
      </c>
      <c r="H160" s="50">
        <f>SUM(H3:H159)</f>
        <v>15741.181428571428</v>
      </c>
      <c r="I160" s="50"/>
      <c r="J160" s="50"/>
      <c r="K160" s="30"/>
      <c r="L160" s="30"/>
      <c r="M160" s="30"/>
      <c r="O160" s="30"/>
      <c r="P160" s="30"/>
      <c r="Q160" s="49"/>
      <c r="R160" s="48"/>
    </row>
    <row r="161" spans="1:40" x14ac:dyDescent="0.2">
      <c r="A161" s="2"/>
      <c r="B161" s="2"/>
      <c r="C161" s="2"/>
      <c r="D161" s="2"/>
      <c r="E161" s="2"/>
      <c r="G161" s="50"/>
      <c r="H161" s="50"/>
      <c r="I161" s="50"/>
      <c r="J161" s="50"/>
      <c r="K161" s="30"/>
      <c r="L161" s="30"/>
      <c r="M161" s="30"/>
      <c r="O161" s="30"/>
      <c r="P161" s="30"/>
      <c r="Q161" s="49"/>
      <c r="R161" s="48"/>
    </row>
    <row r="162" spans="1:40" x14ac:dyDescent="0.2">
      <c r="A162" s="2"/>
      <c r="B162" s="2"/>
      <c r="C162" s="2"/>
      <c r="D162" s="2"/>
      <c r="E162" s="2"/>
      <c r="G162" s="50"/>
      <c r="H162" s="50"/>
      <c r="I162" s="50"/>
      <c r="J162" s="50"/>
      <c r="K162" s="30"/>
      <c r="L162" s="30"/>
      <c r="M162" s="30"/>
      <c r="O162" s="30"/>
      <c r="P162" s="30"/>
      <c r="Q162" s="49"/>
      <c r="R162" s="48"/>
    </row>
    <row r="163" spans="1:40" x14ac:dyDescent="0.2">
      <c r="A163" s="2"/>
      <c r="B163" s="2"/>
      <c r="C163" s="2"/>
      <c r="D163" s="2"/>
      <c r="E163" s="2"/>
      <c r="K163" s="25"/>
      <c r="N163" s="25"/>
      <c r="AF163" s="37"/>
      <c r="AG163" s="37"/>
      <c r="AH163" s="37"/>
    </row>
    <row r="164" spans="1:40" x14ac:dyDescent="0.2">
      <c r="A164" s="2"/>
      <c r="B164" s="2"/>
      <c r="C164" s="2"/>
      <c r="D164" s="2"/>
      <c r="E164" s="2"/>
      <c r="H164" s="145" t="s">
        <v>81</v>
      </c>
      <c r="I164" s="145"/>
      <c r="J164" s="145"/>
      <c r="K164" s="145"/>
      <c r="O164" s="25">
        <f>SUM(O3:O158)</f>
        <v>2885685033.046874</v>
      </c>
      <c r="P164" s="25"/>
      <c r="AF164"/>
      <c r="AG164"/>
      <c r="AH164"/>
      <c r="AI164"/>
      <c r="AJ164"/>
      <c r="AK164"/>
      <c r="AL164"/>
      <c r="AM164"/>
      <c r="AN164"/>
    </row>
    <row r="165" spans="1:40" x14ac:dyDescent="0.2">
      <c r="A165" s="2"/>
      <c r="B165" s="2"/>
      <c r="C165" s="2"/>
      <c r="D165" s="2"/>
      <c r="E165" s="2"/>
      <c r="AF165"/>
      <c r="AG165"/>
      <c r="AH165"/>
      <c r="AI165"/>
      <c r="AJ165"/>
      <c r="AK165"/>
      <c r="AL165"/>
      <c r="AM165"/>
      <c r="AN165"/>
    </row>
    <row r="166" spans="1:40" x14ac:dyDescent="0.2">
      <c r="A166" s="2"/>
      <c r="B166" s="2"/>
      <c r="C166" s="2"/>
      <c r="D166" s="85" t="s">
        <v>82</v>
      </c>
      <c r="E166" s="85" t="s">
        <v>72</v>
      </c>
      <c r="F166" s="37" t="s">
        <v>73</v>
      </c>
      <c r="O166" s="55"/>
      <c r="Q166" s="76" t="s">
        <v>83</v>
      </c>
      <c r="R166" s="76" t="s">
        <v>72</v>
      </c>
      <c r="S166" s="76" t="s">
        <v>84</v>
      </c>
      <c r="T166" s="131" t="s">
        <v>127</v>
      </c>
      <c r="U166" s="131" t="s">
        <v>128</v>
      </c>
      <c r="AF166"/>
      <c r="AG166"/>
      <c r="AH166"/>
      <c r="AI166"/>
      <c r="AJ166"/>
      <c r="AK166"/>
      <c r="AL166"/>
      <c r="AM166"/>
      <c r="AN166"/>
    </row>
    <row r="167" spans="1:40" x14ac:dyDescent="0.2">
      <c r="A167" s="10">
        <v>2011</v>
      </c>
      <c r="B167" s="10"/>
      <c r="C167" s="10"/>
      <c r="D167" s="39">
        <f>SUMIF(B:B,A167,D:D)</f>
        <v>192782769.75999996</v>
      </c>
      <c r="E167" s="39">
        <f>SUMIF(B:B,A167,E:E)</f>
        <v>1113393.2546150328</v>
      </c>
      <c r="F167" s="5">
        <f>SUMIF(B:B,A167,F:F)</f>
        <v>193896163.01461503</v>
      </c>
      <c r="O167" s="55"/>
      <c r="Q167" s="5">
        <f>SUMIF(B:B,A167,O:O)</f>
        <v>193767672.86519656</v>
      </c>
      <c r="R167" s="55">
        <v>1113393.2546150328</v>
      </c>
      <c r="S167" s="55">
        <f>SUMIF(B:B,A167,P:P)</f>
        <v>192654279.61058152</v>
      </c>
      <c r="AF167"/>
      <c r="AG167"/>
      <c r="AH167"/>
      <c r="AI167"/>
      <c r="AJ167"/>
      <c r="AK167"/>
      <c r="AL167"/>
      <c r="AM167"/>
      <c r="AN167"/>
    </row>
    <row r="168" spans="1:40" x14ac:dyDescent="0.2">
      <c r="A168" s="10">
        <f>A167+1</f>
        <v>2012</v>
      </c>
      <c r="B168" s="10"/>
      <c r="C168" s="10"/>
      <c r="D168" s="39">
        <f t="shared" ref="D168:D176" si="36">SUMIF(B:B,A168,D:D)</f>
        <v>194206572.97999996</v>
      </c>
      <c r="E168" s="39">
        <f t="shared" ref="E168:E177" si="37">SUMIF(B:B,A168,E:E)</f>
        <v>2745090.4018907608</v>
      </c>
      <c r="F168" s="5">
        <f t="shared" ref="F168:F177" si="38">SUMIF(B:B,A168,F:F)</f>
        <v>196951663.38189071</v>
      </c>
      <c r="O168" s="55"/>
      <c r="Q168" s="5">
        <f t="shared" ref="Q168:Q179" si="39">SUMIF(B:B,A168,O:O)</f>
        <v>198468561.90151128</v>
      </c>
      <c r="R168" s="55">
        <v>2745090.4018907612</v>
      </c>
      <c r="S168" s="55">
        <f t="shared" ref="S168:S179" si="40">SUMIF(B:B,A168,P:P)</f>
        <v>195723471.49962053</v>
      </c>
      <c r="AF168"/>
      <c r="AG168"/>
      <c r="AH168"/>
      <c r="AI168"/>
      <c r="AJ168"/>
      <c r="AK168"/>
      <c r="AL168"/>
      <c r="AM168"/>
      <c r="AN168"/>
    </row>
    <row r="169" spans="1:40" x14ac:dyDescent="0.2">
      <c r="A169" s="10">
        <f t="shared" ref="A169:A179" si="41">A168+1</f>
        <v>2013</v>
      </c>
      <c r="B169" s="10"/>
      <c r="C169" s="10"/>
      <c r="D169" s="39">
        <f t="shared" si="36"/>
        <v>203179610.86000001</v>
      </c>
      <c r="E169" s="39">
        <f t="shared" si="37"/>
        <v>4136126.0645098011</v>
      </c>
      <c r="F169" s="5">
        <f t="shared" si="38"/>
        <v>207315736.92450976</v>
      </c>
      <c r="O169" s="55"/>
      <c r="Q169" s="5">
        <f t="shared" si="39"/>
        <v>207321997.29541242</v>
      </c>
      <c r="R169" s="55">
        <v>4136126.0645098006</v>
      </c>
      <c r="S169" s="55">
        <f t="shared" si="40"/>
        <v>203185871.23090261</v>
      </c>
      <c r="AF169"/>
      <c r="AG169"/>
      <c r="AH169"/>
      <c r="AI169"/>
      <c r="AJ169"/>
      <c r="AK169"/>
      <c r="AL169"/>
      <c r="AM169"/>
      <c r="AN169"/>
    </row>
    <row r="170" spans="1:40" x14ac:dyDescent="0.2">
      <c r="A170" s="10">
        <f t="shared" si="41"/>
        <v>2014</v>
      </c>
      <c r="D170" s="39">
        <f t="shared" si="36"/>
        <v>204924669.72999999</v>
      </c>
      <c r="E170" s="39">
        <f t="shared" si="37"/>
        <v>5768742.227565065</v>
      </c>
      <c r="F170" s="5">
        <f t="shared" si="38"/>
        <v>210693411.95756504</v>
      </c>
      <c r="O170" s="55"/>
      <c r="Q170" s="5">
        <f t="shared" si="39"/>
        <v>209685638.65562853</v>
      </c>
      <c r="R170" s="55">
        <v>5768742.227565066</v>
      </c>
      <c r="S170" s="55">
        <f t="shared" si="40"/>
        <v>203916896.42806345</v>
      </c>
      <c r="AF170"/>
      <c r="AG170"/>
      <c r="AH170"/>
      <c r="AI170"/>
      <c r="AJ170"/>
      <c r="AK170"/>
      <c r="AL170"/>
      <c r="AM170"/>
      <c r="AN170"/>
    </row>
    <row r="171" spans="1:40" x14ac:dyDescent="0.2">
      <c r="A171" s="10">
        <f t="shared" si="41"/>
        <v>2015</v>
      </c>
      <c r="B171" s="10"/>
      <c r="C171" s="10"/>
      <c r="D171" s="39">
        <f t="shared" si="36"/>
        <v>205449544.32771084</v>
      </c>
      <c r="E171" s="39">
        <f t="shared" si="37"/>
        <v>6660535.9734396851</v>
      </c>
      <c r="F171" s="5">
        <f t="shared" si="38"/>
        <v>212110080.3011505</v>
      </c>
      <c r="O171" s="55"/>
      <c r="Q171" s="5">
        <f t="shared" si="39"/>
        <v>211640757.27236637</v>
      </c>
      <c r="R171" s="55">
        <v>6660535.9734396851</v>
      </c>
      <c r="S171" s="55">
        <f t="shared" si="40"/>
        <v>204980221.29892671</v>
      </c>
      <c r="AF171"/>
      <c r="AG171"/>
      <c r="AH171"/>
      <c r="AI171"/>
      <c r="AJ171"/>
      <c r="AK171"/>
      <c r="AL171"/>
      <c r="AM171"/>
      <c r="AN171"/>
    </row>
    <row r="172" spans="1:40" x14ac:dyDescent="0.2">
      <c r="A172" s="10">
        <f t="shared" si="41"/>
        <v>2016</v>
      </c>
      <c r="D172" s="39">
        <f t="shared" si="36"/>
        <v>204715589.59036142</v>
      </c>
      <c r="E172" s="39">
        <f t="shared" si="37"/>
        <v>7892962.8518290883</v>
      </c>
      <c r="F172" s="5">
        <f t="shared" si="38"/>
        <v>212608552.4421905</v>
      </c>
      <c r="O172" s="55"/>
      <c r="Q172" s="5">
        <f t="shared" si="39"/>
        <v>211977878.70263147</v>
      </c>
      <c r="R172" s="55">
        <v>7892962.8518290874</v>
      </c>
      <c r="S172" s="55">
        <f t="shared" si="40"/>
        <v>204084915.85080245</v>
      </c>
      <c r="AF172"/>
      <c r="AG172"/>
      <c r="AH172"/>
      <c r="AI172"/>
      <c r="AJ172"/>
      <c r="AK172"/>
      <c r="AL172"/>
      <c r="AM172"/>
      <c r="AN172"/>
    </row>
    <row r="173" spans="1:40" x14ac:dyDescent="0.2">
      <c r="A173" s="10">
        <f t="shared" si="41"/>
        <v>2017</v>
      </c>
      <c r="B173" s="10"/>
      <c r="C173" s="10"/>
      <c r="D173" s="39">
        <f t="shared" si="36"/>
        <v>213633991.96144572</v>
      </c>
      <c r="E173" s="39">
        <f t="shared" si="37"/>
        <v>12308944.998419365</v>
      </c>
      <c r="F173" s="5">
        <f t="shared" si="38"/>
        <v>225942936.95986509</v>
      </c>
      <c r="O173" s="55"/>
      <c r="Q173" s="5">
        <f t="shared" si="39"/>
        <v>226834262.97747055</v>
      </c>
      <c r="R173" s="55">
        <v>12308944.998419363</v>
      </c>
      <c r="S173" s="55">
        <f t="shared" si="40"/>
        <v>214525317.9790512</v>
      </c>
      <c r="AF173"/>
      <c r="AG173"/>
      <c r="AH173"/>
      <c r="AI173"/>
      <c r="AJ173"/>
      <c r="AK173"/>
      <c r="AL173"/>
      <c r="AM173"/>
      <c r="AN173"/>
    </row>
    <row r="174" spans="1:40" x14ac:dyDescent="0.2">
      <c r="A174" s="10">
        <f t="shared" si="41"/>
        <v>2018</v>
      </c>
      <c r="D174" s="39">
        <f t="shared" si="36"/>
        <v>221806792.86746988</v>
      </c>
      <c r="E174" s="39">
        <f t="shared" si="37"/>
        <v>17083005.325519945</v>
      </c>
      <c r="F174" s="5">
        <f t="shared" si="38"/>
        <v>238889798.19298983</v>
      </c>
      <c r="O174" s="55"/>
      <c r="Q174" s="5">
        <f t="shared" si="39"/>
        <v>237351073.75078693</v>
      </c>
      <c r="R174" s="55">
        <v>17083005.325519945</v>
      </c>
      <c r="S174" s="55">
        <f t="shared" si="40"/>
        <v>220268068.42526704</v>
      </c>
      <c r="AF174"/>
      <c r="AG174"/>
      <c r="AH174"/>
      <c r="AI174"/>
      <c r="AJ174"/>
      <c r="AK174"/>
      <c r="AL174"/>
      <c r="AM174"/>
      <c r="AN174"/>
    </row>
    <row r="175" spans="1:40" x14ac:dyDescent="0.2">
      <c r="A175" s="10">
        <f t="shared" si="41"/>
        <v>2019</v>
      </c>
      <c r="B175" s="10"/>
      <c r="C175" s="10"/>
      <c r="D175" s="39">
        <f t="shared" si="36"/>
        <v>220154820.13493976</v>
      </c>
      <c r="E175" s="39">
        <f t="shared" si="37"/>
        <v>19187967.141494256</v>
      </c>
      <c r="F175" s="5">
        <f t="shared" si="38"/>
        <v>239342787.27643397</v>
      </c>
      <c r="O175" s="55"/>
      <c r="Q175" s="5">
        <f t="shared" si="39"/>
        <v>239330652.38764596</v>
      </c>
      <c r="R175" s="55">
        <v>19187967.141494252</v>
      </c>
      <c r="S175" s="55">
        <f t="shared" si="40"/>
        <v>220142685.24615172</v>
      </c>
      <c r="AF175"/>
      <c r="AG175"/>
      <c r="AH175"/>
      <c r="AI175"/>
      <c r="AJ175"/>
      <c r="AK175"/>
      <c r="AL175"/>
      <c r="AM175"/>
      <c r="AN175"/>
    </row>
    <row r="176" spans="1:40" x14ac:dyDescent="0.2">
      <c r="A176" s="10">
        <f t="shared" si="41"/>
        <v>2020</v>
      </c>
      <c r="D176" s="39">
        <f t="shared" si="36"/>
        <v>209733279.5373494</v>
      </c>
      <c r="E176" s="39">
        <f t="shared" si="37"/>
        <v>19633009.963500582</v>
      </c>
      <c r="F176" s="5">
        <f t="shared" si="38"/>
        <v>229366289.50085002</v>
      </c>
      <c r="O176" s="55"/>
      <c r="Q176" s="5">
        <f t="shared" si="39"/>
        <v>230197987.63450533</v>
      </c>
      <c r="R176" s="55">
        <v>19633009.963500582</v>
      </c>
      <c r="S176" s="55">
        <f t="shared" si="40"/>
        <v>210564977.67100477</v>
      </c>
      <c r="T176" s="5"/>
      <c r="AF176"/>
      <c r="AG176"/>
      <c r="AH176"/>
      <c r="AI176"/>
      <c r="AJ176"/>
      <c r="AK176"/>
      <c r="AL176"/>
      <c r="AM176"/>
      <c r="AN176"/>
    </row>
    <row r="177" spans="1:40" x14ac:dyDescent="0.2">
      <c r="A177" s="10">
        <f t="shared" si="41"/>
        <v>2021</v>
      </c>
      <c r="B177" s="10"/>
      <c r="C177" s="10"/>
      <c r="D177" s="39">
        <f>SUMIF(B:B,A177,D:D)</f>
        <v>214209551.57590359</v>
      </c>
      <c r="E177" s="39">
        <f t="shared" si="37"/>
        <v>19281454.115713559</v>
      </c>
      <c r="F177" s="5">
        <f t="shared" si="38"/>
        <v>233491005.69161713</v>
      </c>
      <c r="O177" s="55"/>
      <c r="Q177" s="5">
        <f t="shared" si="39"/>
        <v>233903452.05110356</v>
      </c>
      <c r="R177" s="55">
        <v>19281454.115713555</v>
      </c>
      <c r="S177" s="55">
        <f t="shared" si="40"/>
        <v>214621997.93539</v>
      </c>
      <c r="T177" s="5"/>
      <c r="AF177"/>
      <c r="AG177"/>
      <c r="AH177"/>
      <c r="AI177"/>
      <c r="AJ177"/>
      <c r="AK177"/>
      <c r="AL177"/>
      <c r="AM177"/>
      <c r="AN177"/>
    </row>
    <row r="178" spans="1:40" x14ac:dyDescent="0.2">
      <c r="A178" s="10">
        <f t="shared" si="41"/>
        <v>2022</v>
      </c>
      <c r="B178" s="10"/>
      <c r="C178" s="10"/>
      <c r="D178" s="39"/>
      <c r="E178" s="39"/>
      <c r="O178" s="55"/>
      <c r="Q178" s="5">
        <f t="shared" si="39"/>
        <v>238428313.55566078</v>
      </c>
      <c r="R178" s="55">
        <v>18315392.8548957</v>
      </c>
      <c r="S178" s="55">
        <f t="shared" si="40"/>
        <v>220112920.70076507</v>
      </c>
      <c r="T178" s="28">
        <f>'Rate Class Energy Model'!$E$20</f>
        <v>8236461.1556725316</v>
      </c>
      <c r="U178" s="58">
        <f>S178-T178</f>
        <v>211876459.54509255</v>
      </c>
      <c r="AF178"/>
      <c r="AG178"/>
      <c r="AH178"/>
      <c r="AI178"/>
      <c r="AJ178"/>
      <c r="AK178"/>
      <c r="AL178"/>
      <c r="AM178"/>
      <c r="AN178"/>
    </row>
    <row r="179" spans="1:40" x14ac:dyDescent="0.2">
      <c r="A179" s="10">
        <f t="shared" si="41"/>
        <v>2023</v>
      </c>
      <c r="D179" s="39"/>
      <c r="E179" s="39"/>
      <c r="K179" s="41"/>
      <c r="L179" s="41"/>
      <c r="M179" s="41"/>
      <c r="O179" s="52"/>
      <c r="P179" s="41"/>
      <c r="Q179" s="5">
        <f t="shared" si="39"/>
        <v>246776783.99695507</v>
      </c>
      <c r="R179" s="55">
        <v>17238383.029746085</v>
      </c>
      <c r="S179" s="55">
        <f t="shared" si="40"/>
        <v>229538400.96720898</v>
      </c>
      <c r="T179" s="28">
        <f>'Rate Class Energy Model'!$E$20</f>
        <v>8236461.1556725316</v>
      </c>
      <c r="U179" s="58">
        <f>S179-T179</f>
        <v>221301939.81153646</v>
      </c>
      <c r="AF179"/>
      <c r="AG179"/>
      <c r="AH179"/>
      <c r="AI179"/>
      <c r="AJ179"/>
      <c r="AK179"/>
      <c r="AL179"/>
      <c r="AM179"/>
      <c r="AN179"/>
    </row>
    <row r="180" spans="1:40" x14ac:dyDescent="0.2">
      <c r="A180" s="27" t="s">
        <v>94</v>
      </c>
      <c r="B180" s="27"/>
      <c r="C180" s="27"/>
      <c r="D180" s="27"/>
      <c r="E180" s="27"/>
      <c r="L180" s="55"/>
      <c r="M180" s="55"/>
      <c r="P180" s="5"/>
      <c r="Q180" s="5"/>
      <c r="R180" s="5"/>
      <c r="S180" s="1"/>
      <c r="AF180"/>
      <c r="AG180"/>
      <c r="AH180"/>
      <c r="AI180"/>
      <c r="AJ180"/>
      <c r="AK180"/>
      <c r="AL180"/>
      <c r="AM180"/>
      <c r="AN180"/>
    </row>
    <row r="181" spans="1:40" x14ac:dyDescent="0.2">
      <c r="L181" s="55"/>
      <c r="M181" s="55"/>
      <c r="S181" s="1"/>
      <c r="AF181"/>
      <c r="AG181"/>
      <c r="AH181"/>
      <c r="AI181"/>
      <c r="AJ181"/>
      <c r="AK181"/>
      <c r="AL181"/>
      <c r="AM181"/>
      <c r="AN181"/>
    </row>
    <row r="182" spans="1:40" x14ac:dyDescent="0.2">
      <c r="G182" s="51"/>
      <c r="H182" s="41"/>
      <c r="I182" s="41"/>
      <c r="J182" s="41"/>
      <c r="K182" s="41"/>
      <c r="L182" s="52"/>
      <c r="M182" s="52"/>
      <c r="N182" s="41"/>
      <c r="S182" s="39"/>
    </row>
    <row r="184" spans="1:40" x14ac:dyDescent="0.2">
      <c r="S184" s="39"/>
    </row>
    <row r="185" spans="1:40" x14ac:dyDescent="0.2">
      <c r="S185" s="39"/>
    </row>
    <row r="190" spans="1:40" x14ac:dyDescent="0.2">
      <c r="AF190" s="37"/>
      <c r="AG190" s="37"/>
      <c r="AH190" s="37"/>
    </row>
  </sheetData>
  <mergeCells count="4">
    <mergeCell ref="A1:G1"/>
    <mergeCell ref="AF4:AG4"/>
    <mergeCell ref="AH19:AI19"/>
    <mergeCell ref="H164:K164"/>
  </mergeCells>
  <pageMargins left="0.39370078740157483" right="0.74803149606299213" top="0.55118110236220474" bottom="0.55118110236220474" header="0.51181102362204722" footer="0.51181102362204722"/>
  <pageSetup orientation="portrait" r:id="rId1"/>
  <headerFooter alignWithMargins="0"/>
  <rowBreaks count="1" manualBreakCount="1">
    <brk id="110" max="38" man="1"/>
  </rowBreaks>
  <colBreaks count="2" manualBreakCount="2">
    <brk id="18" max="1048575" man="1"/>
    <brk id="28" max="22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79998168889431442"/>
  </sheetPr>
  <dimension ref="A1:AU190"/>
  <sheetViews>
    <sheetView zoomScale="80" zoomScaleNormal="80" workbookViewId="0">
      <pane xSplit="1" ySplit="2" topLeftCell="B3" activePane="bottomRight" state="frozen"/>
      <selection activeCell="V159" sqref="V159"/>
      <selection pane="topRight" activeCell="V159" sqref="V159"/>
      <selection pane="bottomLeft" activeCell="V159" sqref="V159"/>
      <selection pane="bottomRight" activeCell="Y24" sqref="Y24"/>
    </sheetView>
  </sheetViews>
  <sheetFormatPr defaultRowHeight="12.75" x14ac:dyDescent="0.2"/>
  <cols>
    <col min="1" max="3" width="11.85546875" customWidth="1"/>
    <col min="4" max="4" width="14.140625" customWidth="1"/>
    <col min="5" max="5" width="13.28515625" customWidth="1"/>
    <col min="6" max="6" width="12.7109375" style="5" bestFit="1" customWidth="1"/>
    <col min="7" max="7" width="12.140625" style="1" customWidth="1"/>
    <col min="8" max="8" width="11.5703125" style="1" customWidth="1"/>
    <col min="9" max="9" width="9.42578125" style="1" bestFit="1" customWidth="1"/>
    <col min="10" max="10" width="10.85546875" style="1" bestFit="1" customWidth="1"/>
    <col min="11" max="11" width="10.7109375" style="1" customWidth="1"/>
    <col min="12" max="12" width="10.7109375" style="1" bestFit="1" customWidth="1"/>
    <col min="13" max="13" width="15.140625" style="1" bestFit="1" customWidth="1"/>
    <col min="14" max="14" width="15.140625" style="1" customWidth="1"/>
    <col min="15" max="15" width="13.28515625" style="1" customWidth="1"/>
    <col min="16" max="16" width="13.7109375" style="1" customWidth="1"/>
    <col min="17" max="17" width="22.42578125" bestFit="1" customWidth="1"/>
    <col min="18" max="18" width="14.85546875" bestFit="1" customWidth="1"/>
    <col min="19" max="19" width="13.7109375" bestFit="1" customWidth="1"/>
    <col min="20" max="20" width="12.5703125" bestFit="1" customWidth="1"/>
    <col min="21" max="21" width="12.42578125" bestFit="1" customWidth="1"/>
    <col min="22" max="22" width="13.5703125" bestFit="1" customWidth="1"/>
    <col min="23" max="25" width="12.5703125" bestFit="1" customWidth="1"/>
    <col min="26" max="26" width="14.140625" bestFit="1" customWidth="1"/>
    <col min="27" max="29" width="12.7109375" customWidth="1"/>
    <col min="30" max="38" width="12.7109375" style="5" customWidth="1"/>
    <col min="39" max="48" width="12.7109375" customWidth="1"/>
  </cols>
  <sheetData>
    <row r="1" spans="1:42" ht="15.75" x14ac:dyDescent="0.25">
      <c r="A1" s="134" t="s">
        <v>90</v>
      </c>
      <c r="B1" s="134"/>
      <c r="C1" s="134"/>
      <c r="D1" s="134"/>
      <c r="E1" s="134"/>
      <c r="F1" s="134"/>
      <c r="G1" s="134"/>
    </row>
    <row r="2" spans="1:42" ht="42" customHeight="1" x14ac:dyDescent="0.2">
      <c r="D2" s="54" t="s">
        <v>3</v>
      </c>
      <c r="E2" s="54" t="s">
        <v>4</v>
      </c>
      <c r="F2" s="54" t="s">
        <v>5</v>
      </c>
      <c r="G2" s="125" t="s">
        <v>18</v>
      </c>
      <c r="H2" s="125" t="s">
        <v>17</v>
      </c>
      <c r="I2" s="7" t="s">
        <v>74</v>
      </c>
      <c r="J2" s="7" t="s">
        <v>75</v>
      </c>
      <c r="K2" s="7" t="s">
        <v>14</v>
      </c>
      <c r="L2" s="7" t="s">
        <v>11</v>
      </c>
      <c r="M2" s="7" t="s">
        <v>76</v>
      </c>
      <c r="N2" s="7" t="s">
        <v>77</v>
      </c>
      <c r="O2" s="7" t="s">
        <v>78</v>
      </c>
      <c r="P2" s="7" t="s">
        <v>79</v>
      </c>
      <c r="AD2" s="6"/>
      <c r="AE2" s="6"/>
      <c r="AF2" s="6"/>
    </row>
    <row r="3" spans="1:42" x14ac:dyDescent="0.2">
      <c r="A3" s="2">
        <v>40544</v>
      </c>
      <c r="B3">
        <f>YEAR(A3)</f>
        <v>2011</v>
      </c>
      <c r="C3">
        <f>MONTH(A3)</f>
        <v>1</v>
      </c>
      <c r="D3" s="54">
        <v>16624484.049999999</v>
      </c>
      <c r="E3" s="54">
        <v>92782.771217919406</v>
      </c>
      <c r="F3" s="54">
        <v>16717266.821217919</v>
      </c>
      <c r="G3" s="126">
        <v>527.30000000000007</v>
      </c>
      <c r="H3" s="126">
        <v>0</v>
      </c>
      <c r="I3" s="30">
        <v>31</v>
      </c>
      <c r="J3" s="30">
        <v>257</v>
      </c>
      <c r="K3" s="74">
        <v>2928.6</v>
      </c>
      <c r="L3" s="127">
        <v>0</v>
      </c>
      <c r="M3" s="30">
        <f>$R$19+G3*$R$20+H3*$R$21+I3*$R$22+J3*$R$23+K3*$R$24+L3*$R$25</f>
        <v>17704176.881215826</v>
      </c>
      <c r="N3" s="30">
        <f t="shared" ref="N3:N34" si="0">M3-E3</f>
        <v>17611394.109997906</v>
      </c>
      <c r="O3" s="49">
        <f t="shared" ref="O3:O34" si="1">+M3-F3</f>
        <v>986910.05999790691</v>
      </c>
      <c r="P3" s="48">
        <f t="shared" ref="P3:P34" si="2">ABS(O3/F3)</f>
        <v>5.9035371664062884E-2</v>
      </c>
      <c r="AB3" s="37"/>
      <c r="AC3" s="37"/>
      <c r="AD3" s="62"/>
      <c r="AE3" s="49"/>
      <c r="AF3" s="70"/>
      <c r="AG3" s="70"/>
      <c r="AH3" s="103"/>
      <c r="AI3" s="70"/>
      <c r="AJ3" s="70"/>
      <c r="AK3" s="98"/>
      <c r="AL3" s="103"/>
      <c r="AM3" s="64"/>
    </row>
    <row r="4" spans="1:42" x14ac:dyDescent="0.2">
      <c r="A4" s="2">
        <v>40575</v>
      </c>
      <c r="B4">
        <f t="shared" ref="B4:B67" si="3">YEAR(A4)</f>
        <v>2011</v>
      </c>
      <c r="C4">
        <f t="shared" ref="C4:C18" si="4">MONTH(A4)</f>
        <v>2</v>
      </c>
      <c r="D4" s="54">
        <v>15658887.129999997</v>
      </c>
      <c r="E4" s="54">
        <v>92782.771217919406</v>
      </c>
      <c r="F4" s="54">
        <v>15751669.901217917</v>
      </c>
      <c r="G4" s="126">
        <v>430.20000000000005</v>
      </c>
      <c r="H4" s="126">
        <v>0</v>
      </c>
      <c r="I4" s="30">
        <v>28</v>
      </c>
      <c r="J4" s="30">
        <v>255</v>
      </c>
      <c r="K4" s="74">
        <v>2938.9</v>
      </c>
      <c r="L4" s="127">
        <v>0</v>
      </c>
      <c r="M4" s="30">
        <f t="shared" ref="M4:M67" si="5">$R$19+G4*$R$20+H4*$R$21+I4*$R$22+J4*$R$23+K4*$R$24+L4*$R$25</f>
        <v>16134431.602486141</v>
      </c>
      <c r="N4" s="30">
        <f t="shared" si="0"/>
        <v>16041648.831268221</v>
      </c>
      <c r="O4" s="49">
        <f t="shared" si="1"/>
        <v>382761.70126822405</v>
      </c>
      <c r="P4" s="48">
        <f t="shared" si="2"/>
        <v>2.4299753846328952E-2</v>
      </c>
      <c r="AB4" s="37"/>
      <c r="AC4" s="37"/>
      <c r="AD4" s="91"/>
      <c r="AE4" s="91"/>
      <c r="AF4" s="70"/>
      <c r="AG4" s="70"/>
      <c r="AH4" s="98"/>
      <c r="AI4" s="107"/>
      <c r="AJ4" s="70"/>
      <c r="AK4" s="98"/>
      <c r="AL4" s="98"/>
      <c r="AM4" s="64"/>
    </row>
    <row r="5" spans="1:42" x14ac:dyDescent="0.2">
      <c r="A5" s="2">
        <v>40603</v>
      </c>
      <c r="B5">
        <f t="shared" si="3"/>
        <v>2011</v>
      </c>
      <c r="C5">
        <f t="shared" si="4"/>
        <v>3</v>
      </c>
      <c r="D5" s="54">
        <v>16577681.930000002</v>
      </c>
      <c r="E5" s="54">
        <v>92782.771217919406</v>
      </c>
      <c r="F5" s="54">
        <v>16670464.701217921</v>
      </c>
      <c r="G5" s="126">
        <v>324.79999999999995</v>
      </c>
      <c r="H5" s="126">
        <v>0</v>
      </c>
      <c r="I5" s="30">
        <v>31</v>
      </c>
      <c r="J5" s="30">
        <v>256</v>
      </c>
      <c r="K5" s="74">
        <v>2930.7</v>
      </c>
      <c r="L5" s="127">
        <v>0</v>
      </c>
      <c r="M5" s="30">
        <f t="shared" si="5"/>
        <v>16636737.238252485</v>
      </c>
      <c r="N5" s="30">
        <f t="shared" si="0"/>
        <v>16543954.467034565</v>
      </c>
      <c r="O5" s="49">
        <f t="shared" si="1"/>
        <v>-33727.46296543628</v>
      </c>
      <c r="P5" s="48">
        <f t="shared" si="2"/>
        <v>2.0231867299399398E-3</v>
      </c>
      <c r="Q5" s="87"/>
      <c r="R5" s="87"/>
      <c r="AB5" s="49"/>
      <c r="AC5" s="49"/>
      <c r="AD5" s="49"/>
      <c r="AE5" s="49"/>
      <c r="AF5" s="70"/>
      <c r="AG5" s="70"/>
      <c r="AH5" s="98"/>
      <c r="AI5" s="107"/>
      <c r="AJ5" s="70"/>
      <c r="AK5" s="98"/>
      <c r="AL5" s="98"/>
      <c r="AM5" s="63"/>
    </row>
    <row r="6" spans="1:42" x14ac:dyDescent="0.2">
      <c r="A6" s="2">
        <v>40634</v>
      </c>
      <c r="B6">
        <f t="shared" si="3"/>
        <v>2011</v>
      </c>
      <c r="C6">
        <f t="shared" si="4"/>
        <v>4</v>
      </c>
      <c r="D6" s="54">
        <v>14870365.83</v>
      </c>
      <c r="E6" s="54">
        <v>92782.771217919406</v>
      </c>
      <c r="F6" s="54">
        <v>14963148.60121792</v>
      </c>
      <c r="G6" s="126">
        <v>106.70000000000002</v>
      </c>
      <c r="H6" s="126">
        <v>6.4</v>
      </c>
      <c r="I6" s="30">
        <v>30</v>
      </c>
      <c r="J6" s="30">
        <v>257</v>
      </c>
      <c r="K6" s="74">
        <v>2922.2</v>
      </c>
      <c r="L6" s="127">
        <v>0</v>
      </c>
      <c r="M6" s="30">
        <f t="shared" si="5"/>
        <v>15179440.68554559</v>
      </c>
      <c r="N6" s="30">
        <f t="shared" si="0"/>
        <v>15086657.91432767</v>
      </c>
      <c r="O6" s="49">
        <f t="shared" si="1"/>
        <v>216292.08432766981</v>
      </c>
      <c r="P6" s="48">
        <f t="shared" si="2"/>
        <v>1.445498471558752E-2</v>
      </c>
      <c r="AD6" s="70"/>
      <c r="AE6" s="65"/>
      <c r="AF6" s="37"/>
      <c r="AI6" s="108"/>
      <c r="AJ6" s="108"/>
      <c r="AM6" s="5"/>
      <c r="AN6" s="5"/>
      <c r="AP6" s="27"/>
    </row>
    <row r="7" spans="1:42" x14ac:dyDescent="0.2">
      <c r="A7" s="2">
        <v>40664</v>
      </c>
      <c r="B7">
        <f t="shared" si="3"/>
        <v>2011</v>
      </c>
      <c r="C7">
        <f t="shared" si="4"/>
        <v>5</v>
      </c>
      <c r="D7" s="54">
        <v>15387555.400000006</v>
      </c>
      <c r="E7" s="54">
        <v>92782.771217919406</v>
      </c>
      <c r="F7" s="54">
        <v>15480338.171217926</v>
      </c>
      <c r="G7" s="126">
        <v>7.1</v>
      </c>
      <c r="H7" s="126">
        <v>86.7</v>
      </c>
      <c r="I7" s="30">
        <v>31</v>
      </c>
      <c r="J7" s="30">
        <v>263</v>
      </c>
      <c r="K7" s="74">
        <v>2920.1</v>
      </c>
      <c r="L7" s="127">
        <v>0</v>
      </c>
      <c r="M7" s="30">
        <f t="shared" si="5"/>
        <v>15680552.385555528</v>
      </c>
      <c r="N7" s="30">
        <f t="shared" si="0"/>
        <v>15587769.614337608</v>
      </c>
      <c r="O7" s="49">
        <f t="shared" si="1"/>
        <v>200214.21433760226</v>
      </c>
      <c r="P7" s="48">
        <f t="shared" si="2"/>
        <v>1.2933452236195579E-2</v>
      </c>
      <c r="AD7" s="70"/>
      <c r="AE7" s="65"/>
      <c r="AF7" s="37"/>
      <c r="AI7" s="108"/>
      <c r="AJ7" s="108"/>
      <c r="AM7" s="5"/>
      <c r="AN7" s="5"/>
      <c r="AP7" s="27"/>
    </row>
    <row r="8" spans="1:42" x14ac:dyDescent="0.2">
      <c r="A8" s="2">
        <v>40695</v>
      </c>
      <c r="B8">
        <f t="shared" si="3"/>
        <v>2011</v>
      </c>
      <c r="C8">
        <f t="shared" si="4"/>
        <v>6</v>
      </c>
      <c r="D8" s="54">
        <v>16284746.789999999</v>
      </c>
      <c r="E8" s="54">
        <v>92782.771217919406</v>
      </c>
      <c r="F8" s="54">
        <v>16377529.561217919</v>
      </c>
      <c r="G8" s="126">
        <v>0</v>
      </c>
      <c r="H8" s="126">
        <v>213.20000000000002</v>
      </c>
      <c r="I8" s="30">
        <v>30</v>
      </c>
      <c r="J8" s="30">
        <v>263</v>
      </c>
      <c r="K8" s="74">
        <v>2927.5</v>
      </c>
      <c r="L8" s="127">
        <v>0</v>
      </c>
      <c r="M8" s="30">
        <f t="shared" si="5"/>
        <v>16159588.448901102</v>
      </c>
      <c r="N8" s="30">
        <f t="shared" si="0"/>
        <v>16066805.677683182</v>
      </c>
      <c r="O8" s="49">
        <f t="shared" si="1"/>
        <v>-217941.11231681705</v>
      </c>
      <c r="P8" s="48">
        <f t="shared" si="2"/>
        <v>1.330732522888573E-2</v>
      </c>
      <c r="AD8" s="70"/>
      <c r="AE8" s="65"/>
      <c r="AF8" s="37"/>
      <c r="AI8" s="108"/>
      <c r="AJ8" s="108"/>
      <c r="AM8" s="5"/>
      <c r="AN8" s="5"/>
      <c r="AP8" s="27"/>
    </row>
    <row r="9" spans="1:42" x14ac:dyDescent="0.2">
      <c r="A9" s="2">
        <v>40725</v>
      </c>
      <c r="B9">
        <f t="shared" si="3"/>
        <v>2011</v>
      </c>
      <c r="C9">
        <f t="shared" si="4"/>
        <v>7</v>
      </c>
      <c r="D9" s="54">
        <v>16946151.27</v>
      </c>
      <c r="E9" s="54">
        <v>92782.771217919406</v>
      </c>
      <c r="F9" s="54">
        <v>17038934.041217919</v>
      </c>
      <c r="G9" s="126">
        <v>0</v>
      </c>
      <c r="H9" s="126">
        <v>384.2999999999999</v>
      </c>
      <c r="I9" s="30">
        <v>31</v>
      </c>
      <c r="J9" s="30">
        <v>265</v>
      </c>
      <c r="K9" s="74">
        <v>2923.6</v>
      </c>
      <c r="L9" s="127">
        <v>0</v>
      </c>
      <c r="M9" s="30">
        <f t="shared" si="5"/>
        <v>17678186.667873174</v>
      </c>
      <c r="N9" s="30">
        <f t="shared" si="0"/>
        <v>17585403.896655254</v>
      </c>
      <c r="O9" s="49">
        <f t="shared" si="1"/>
        <v>639252.62665525451</v>
      </c>
      <c r="P9" s="48">
        <f t="shared" si="2"/>
        <v>3.7517172442177116E-2</v>
      </c>
      <c r="AD9" s="70"/>
      <c r="AE9" s="65"/>
      <c r="AF9" s="37"/>
      <c r="AI9" s="108"/>
      <c r="AJ9" s="108"/>
      <c r="AM9" s="5"/>
      <c r="AN9" s="5"/>
      <c r="AP9" s="27"/>
    </row>
    <row r="10" spans="1:42" x14ac:dyDescent="0.2">
      <c r="A10" s="2">
        <v>40756</v>
      </c>
      <c r="B10">
        <f t="shared" si="3"/>
        <v>2011</v>
      </c>
      <c r="C10">
        <f t="shared" si="4"/>
        <v>8</v>
      </c>
      <c r="D10" s="54">
        <v>16700144.319999998</v>
      </c>
      <c r="E10" s="54">
        <v>92782.771217919406</v>
      </c>
      <c r="F10" s="54">
        <v>16792927.091217916</v>
      </c>
      <c r="G10" s="126">
        <v>0</v>
      </c>
      <c r="H10" s="126">
        <v>308.2</v>
      </c>
      <c r="I10" s="30">
        <v>31</v>
      </c>
      <c r="J10" s="30">
        <v>267</v>
      </c>
      <c r="K10" s="74">
        <v>2920.2</v>
      </c>
      <c r="L10" s="127">
        <v>0</v>
      </c>
      <c r="M10" s="30">
        <f t="shared" si="5"/>
        <v>17206701.431476481</v>
      </c>
      <c r="N10" s="30">
        <f t="shared" si="0"/>
        <v>17113918.660258561</v>
      </c>
      <c r="O10" s="49">
        <f t="shared" si="1"/>
        <v>413774.3402585648</v>
      </c>
      <c r="P10" s="48">
        <f t="shared" si="2"/>
        <v>2.4639798530117694E-2</v>
      </c>
      <c r="AD10" s="70"/>
      <c r="AE10" s="65"/>
      <c r="AF10" s="37"/>
      <c r="AI10" s="108"/>
      <c r="AJ10" s="108"/>
      <c r="AM10" s="5"/>
      <c r="AN10" s="5"/>
      <c r="AP10" s="27"/>
    </row>
    <row r="11" spans="1:42" x14ac:dyDescent="0.2">
      <c r="A11" s="2">
        <v>40787</v>
      </c>
      <c r="B11">
        <f t="shared" si="3"/>
        <v>2011</v>
      </c>
      <c r="C11">
        <f t="shared" si="4"/>
        <v>9</v>
      </c>
      <c r="D11" s="54">
        <v>15666778.779999997</v>
      </c>
      <c r="E11" s="54">
        <v>92782.771217919406</v>
      </c>
      <c r="F11" s="54">
        <v>15759561.551217917</v>
      </c>
      <c r="G11" s="126">
        <v>0</v>
      </c>
      <c r="H11" s="126">
        <v>172.60000000000002</v>
      </c>
      <c r="I11" s="30">
        <v>30</v>
      </c>
      <c r="J11" s="30">
        <v>268</v>
      </c>
      <c r="K11" s="74">
        <v>2915.3</v>
      </c>
      <c r="L11" s="127">
        <v>0</v>
      </c>
      <c r="M11" s="30">
        <f t="shared" si="5"/>
        <v>15957164.074078709</v>
      </c>
      <c r="N11" s="30">
        <f t="shared" si="0"/>
        <v>15864381.302860789</v>
      </c>
      <c r="O11" s="49">
        <f t="shared" si="1"/>
        <v>197602.52286079153</v>
      </c>
      <c r="P11" s="48">
        <f t="shared" si="2"/>
        <v>1.2538579973725258E-2</v>
      </c>
      <c r="AD11" s="70"/>
      <c r="AE11" s="65"/>
      <c r="AF11" s="37"/>
      <c r="AI11" s="108"/>
      <c r="AJ11" s="108"/>
      <c r="AM11" s="5"/>
      <c r="AN11" s="5"/>
      <c r="AP11" s="27"/>
    </row>
    <row r="12" spans="1:42" x14ac:dyDescent="0.2">
      <c r="A12" s="2">
        <v>40817</v>
      </c>
      <c r="B12">
        <f t="shared" si="3"/>
        <v>2011</v>
      </c>
      <c r="C12">
        <f t="shared" si="4"/>
        <v>10</v>
      </c>
      <c r="D12" s="54">
        <v>15493508.160000006</v>
      </c>
      <c r="E12" s="54">
        <v>92782.771217919406</v>
      </c>
      <c r="F12" s="54">
        <v>15586290.931217926</v>
      </c>
      <c r="G12" s="126">
        <v>49.800000000000004</v>
      </c>
      <c r="H12" s="126">
        <v>41.5</v>
      </c>
      <c r="I12" s="30">
        <v>31</v>
      </c>
      <c r="J12" s="30">
        <v>270</v>
      </c>
      <c r="K12" s="74">
        <v>2906.1</v>
      </c>
      <c r="L12" s="127">
        <v>0</v>
      </c>
      <c r="M12" s="30">
        <f t="shared" si="5"/>
        <v>15709271.742274594</v>
      </c>
      <c r="N12" s="30">
        <f t="shared" si="0"/>
        <v>15616488.971056674</v>
      </c>
      <c r="O12" s="49">
        <f t="shared" si="1"/>
        <v>122980.81105666794</v>
      </c>
      <c r="P12" s="48">
        <f t="shared" si="2"/>
        <v>7.8903192298527252E-3</v>
      </c>
      <c r="AD12" s="70"/>
      <c r="AE12" s="65"/>
      <c r="AF12" s="37"/>
      <c r="AI12" s="108"/>
      <c r="AJ12" s="108"/>
      <c r="AM12" s="5"/>
      <c r="AN12" s="5"/>
      <c r="AP12" s="27"/>
    </row>
    <row r="13" spans="1:42" x14ac:dyDescent="0.2">
      <c r="A13" s="2">
        <v>40848</v>
      </c>
      <c r="B13">
        <f t="shared" si="3"/>
        <v>2011</v>
      </c>
      <c r="C13">
        <f t="shared" si="4"/>
        <v>11</v>
      </c>
      <c r="D13" s="54">
        <v>15848617.690000003</v>
      </c>
      <c r="E13" s="54">
        <v>92782.771217919406</v>
      </c>
      <c r="F13" s="54">
        <v>15941400.461217923</v>
      </c>
      <c r="G13" s="126">
        <v>115.8</v>
      </c>
      <c r="H13" s="126">
        <v>3.4000000000000004</v>
      </c>
      <c r="I13" s="30">
        <v>30</v>
      </c>
      <c r="J13" s="30">
        <v>271</v>
      </c>
      <c r="K13" s="74">
        <v>2901.5</v>
      </c>
      <c r="L13" s="127">
        <v>0</v>
      </c>
      <c r="M13" s="30">
        <f t="shared" si="5"/>
        <v>15450332.526532734</v>
      </c>
      <c r="N13" s="30">
        <f t="shared" si="0"/>
        <v>15357549.755314814</v>
      </c>
      <c r="O13" s="49">
        <f t="shared" si="1"/>
        <v>-491067.93468518928</v>
      </c>
      <c r="P13" s="48">
        <f t="shared" si="2"/>
        <v>3.0804566755590537E-2</v>
      </c>
      <c r="Q13" s="86"/>
      <c r="R13" s="86"/>
      <c r="S13" s="86"/>
      <c r="T13" s="86"/>
      <c r="U13" s="86"/>
      <c r="V13" s="86"/>
      <c r="AD13" s="70"/>
      <c r="AE13" s="65"/>
      <c r="AF13" s="37"/>
      <c r="AI13" s="108"/>
      <c r="AJ13" s="108"/>
      <c r="AM13" s="5"/>
      <c r="AN13" s="5"/>
      <c r="AP13" s="27"/>
    </row>
    <row r="14" spans="1:42" x14ac:dyDescent="0.2">
      <c r="A14" s="2">
        <v>40878</v>
      </c>
      <c r="B14">
        <f t="shared" si="3"/>
        <v>2011</v>
      </c>
      <c r="C14">
        <f t="shared" si="4"/>
        <v>12</v>
      </c>
      <c r="D14" s="54">
        <v>16723848.409999998</v>
      </c>
      <c r="E14" s="54">
        <v>92782.771217919406</v>
      </c>
      <c r="F14" s="54">
        <v>16816631.181217916</v>
      </c>
      <c r="G14" s="126">
        <v>286</v>
      </c>
      <c r="H14" s="126">
        <v>0</v>
      </c>
      <c r="I14" s="30">
        <v>31</v>
      </c>
      <c r="J14" s="30">
        <v>271</v>
      </c>
      <c r="K14" s="74">
        <v>2893.8</v>
      </c>
      <c r="L14" s="127">
        <v>0</v>
      </c>
      <c r="M14" s="30">
        <f t="shared" si="5"/>
        <v>16633805.024327451</v>
      </c>
      <c r="N14" s="30">
        <f t="shared" si="0"/>
        <v>16541022.253109531</v>
      </c>
      <c r="O14" s="49">
        <f t="shared" si="1"/>
        <v>-182826.15689046495</v>
      </c>
      <c r="P14" s="48">
        <f t="shared" si="2"/>
        <v>1.0871746839203979E-2</v>
      </c>
      <c r="Q14" t="s">
        <v>91</v>
      </c>
      <c r="AD14" s="70"/>
      <c r="AE14" s="65"/>
      <c r="AF14" s="37"/>
      <c r="AI14" s="108"/>
      <c r="AJ14" s="108"/>
      <c r="AM14" s="5"/>
      <c r="AN14" s="5"/>
      <c r="AP14" s="27"/>
    </row>
    <row r="15" spans="1:42" x14ac:dyDescent="0.2">
      <c r="A15" s="2">
        <v>40909</v>
      </c>
      <c r="B15">
        <f t="shared" si="3"/>
        <v>2012</v>
      </c>
      <c r="C15">
        <f t="shared" si="4"/>
        <v>1</v>
      </c>
      <c r="D15" s="54">
        <v>16556508.93</v>
      </c>
      <c r="E15" s="54">
        <v>228757.53349089678</v>
      </c>
      <c r="F15" s="54">
        <v>16785266.463490896</v>
      </c>
      <c r="G15" s="126">
        <v>363.10000000000008</v>
      </c>
      <c r="H15" s="126">
        <v>0</v>
      </c>
      <c r="I15" s="30">
        <v>31</v>
      </c>
      <c r="J15" s="30">
        <v>271</v>
      </c>
      <c r="K15" s="74">
        <v>2892.7</v>
      </c>
      <c r="L15" s="127">
        <v>0</v>
      </c>
      <c r="M15" s="30">
        <f t="shared" si="5"/>
        <v>17029959.468131647</v>
      </c>
      <c r="N15" s="30">
        <f t="shared" si="0"/>
        <v>16801201.93464075</v>
      </c>
      <c r="O15" s="49">
        <f t="shared" si="1"/>
        <v>244693.00464075059</v>
      </c>
      <c r="P15" s="48">
        <f t="shared" si="2"/>
        <v>1.4577844514591093E-2</v>
      </c>
      <c r="Q15" t="s">
        <v>92</v>
      </c>
      <c r="AD15" s="70"/>
      <c r="AE15" s="65"/>
      <c r="AF15" s="37"/>
      <c r="AI15" s="108"/>
      <c r="AJ15" s="108"/>
      <c r="AM15" s="5"/>
      <c r="AN15" s="5"/>
      <c r="AO15" s="109"/>
      <c r="AP15" s="27"/>
    </row>
    <row r="16" spans="1:42" ht="12.75" customHeight="1" x14ac:dyDescent="0.2">
      <c r="A16" s="2">
        <v>40940</v>
      </c>
      <c r="B16">
        <f t="shared" si="3"/>
        <v>2012</v>
      </c>
      <c r="C16">
        <f t="shared" si="4"/>
        <v>2</v>
      </c>
      <c r="D16" s="54">
        <v>15850543.67</v>
      </c>
      <c r="E16" s="54">
        <v>228757.53349089678</v>
      </c>
      <c r="F16" s="54">
        <v>16079301.203490896</v>
      </c>
      <c r="G16" s="126">
        <v>299.70000000000005</v>
      </c>
      <c r="H16" s="126">
        <v>0</v>
      </c>
      <c r="I16" s="30">
        <v>29</v>
      </c>
      <c r="J16" s="30">
        <v>272</v>
      </c>
      <c r="K16" s="74">
        <v>2889.3</v>
      </c>
      <c r="L16" s="127">
        <v>0</v>
      </c>
      <c r="M16" s="30">
        <f t="shared" si="5"/>
        <v>16002218.55741317</v>
      </c>
      <c r="N16" s="30">
        <f t="shared" si="0"/>
        <v>15773461.023922274</v>
      </c>
      <c r="O16" s="49">
        <f t="shared" si="1"/>
        <v>-77082.646077726036</v>
      </c>
      <c r="P16" s="48">
        <f t="shared" si="2"/>
        <v>4.7939052264902538E-3</v>
      </c>
      <c r="Q16" t="s">
        <v>93</v>
      </c>
      <c r="AD16" s="70"/>
      <c r="AE16" s="65"/>
      <c r="AF16" s="37"/>
      <c r="AI16" s="110"/>
      <c r="AJ16" s="108"/>
      <c r="AM16" s="5"/>
      <c r="AN16" s="5"/>
      <c r="AP16" s="27"/>
    </row>
    <row r="17" spans="1:43" ht="12.75" customHeight="1" x14ac:dyDescent="0.2">
      <c r="A17" s="2">
        <v>40969</v>
      </c>
      <c r="B17">
        <f t="shared" si="3"/>
        <v>2012</v>
      </c>
      <c r="C17">
        <f t="shared" si="4"/>
        <v>3</v>
      </c>
      <c r="D17" s="54">
        <v>16308714.269999996</v>
      </c>
      <c r="E17" s="54">
        <v>228757.53349089678</v>
      </c>
      <c r="F17" s="54">
        <v>16537471.803490892</v>
      </c>
      <c r="G17" s="126">
        <v>145</v>
      </c>
      <c r="H17" s="126">
        <v>23.799999999999997</v>
      </c>
      <c r="I17" s="30">
        <v>31</v>
      </c>
      <c r="J17" s="30">
        <v>272</v>
      </c>
      <c r="K17" s="74">
        <v>2893.8</v>
      </c>
      <c r="L17" s="127">
        <v>0</v>
      </c>
      <c r="M17" s="30">
        <f t="shared" si="5"/>
        <v>16082211.217232618</v>
      </c>
      <c r="N17" s="30">
        <f t="shared" si="0"/>
        <v>15853453.683741722</v>
      </c>
      <c r="O17" s="49">
        <f t="shared" si="1"/>
        <v>-455260.58625827357</v>
      </c>
      <c r="P17" s="48">
        <f t="shared" si="2"/>
        <v>2.7529031744874855E-2</v>
      </c>
      <c r="AD17" s="70"/>
      <c r="AE17" s="65"/>
      <c r="AF17" s="37"/>
      <c r="AI17" s="108"/>
      <c r="AJ17" s="108"/>
      <c r="AL17" s="27"/>
      <c r="AM17" s="5"/>
      <c r="AN17" s="5"/>
      <c r="AP17" s="27"/>
    </row>
    <row r="18" spans="1:43" ht="12.75" customHeight="1" x14ac:dyDescent="0.2">
      <c r="A18" s="2">
        <v>41000</v>
      </c>
      <c r="B18">
        <f t="shared" si="3"/>
        <v>2012</v>
      </c>
      <c r="C18">
        <f t="shared" si="4"/>
        <v>4</v>
      </c>
      <c r="D18" s="54">
        <v>14651507.389999997</v>
      </c>
      <c r="E18" s="54">
        <v>228757.53349089678</v>
      </c>
      <c r="F18" s="54">
        <v>14880264.923490893</v>
      </c>
      <c r="G18" s="126">
        <v>100.89999999999999</v>
      </c>
      <c r="H18" s="126">
        <v>11.199999999999998</v>
      </c>
      <c r="I18" s="30">
        <v>30</v>
      </c>
      <c r="J18" s="30">
        <v>272</v>
      </c>
      <c r="K18" s="74">
        <v>2898.4</v>
      </c>
      <c r="L18" s="127">
        <v>0</v>
      </c>
      <c r="M18" s="30">
        <f t="shared" si="5"/>
        <v>15435127.371335587</v>
      </c>
      <c r="N18" s="30">
        <f t="shared" si="0"/>
        <v>15206369.83784469</v>
      </c>
      <c r="O18" s="49">
        <f t="shared" si="1"/>
        <v>554862.44784469344</v>
      </c>
      <c r="P18" s="48">
        <f t="shared" si="2"/>
        <v>3.7288479116306172E-2</v>
      </c>
      <c r="Q18" s="86"/>
      <c r="R18" s="86" t="s">
        <v>19</v>
      </c>
      <c r="S18" s="86" t="s">
        <v>20</v>
      </c>
      <c r="T18" t="s">
        <v>21</v>
      </c>
      <c r="U18" t="s">
        <v>22</v>
      </c>
      <c r="V18" s="86"/>
      <c r="W18" s="86"/>
      <c r="X18" s="86"/>
      <c r="Y18" s="86"/>
      <c r="AB18" s="49"/>
      <c r="AC18" s="49"/>
      <c r="AD18" s="65"/>
      <c r="AE18" s="49"/>
      <c r="AF18" s="73"/>
      <c r="AG18" s="73"/>
      <c r="AI18" s="57"/>
      <c r="AJ18" s="67"/>
      <c r="AK18" s="67"/>
      <c r="AL18"/>
      <c r="AM18" s="5"/>
      <c r="AN18" s="5"/>
      <c r="AP18" s="27"/>
    </row>
    <row r="19" spans="1:43" ht="12.75" customHeight="1" x14ac:dyDescent="0.2">
      <c r="A19" s="2">
        <v>41030</v>
      </c>
      <c r="B19">
        <f t="shared" si="3"/>
        <v>2012</v>
      </c>
      <c r="C19">
        <f t="shared" ref="C19:C82" si="6">MONTH(A19)</f>
        <v>5</v>
      </c>
      <c r="D19" s="54">
        <v>16853445.379999999</v>
      </c>
      <c r="E19" s="54">
        <v>228757.53349089678</v>
      </c>
      <c r="F19" s="54">
        <v>17082202.913490895</v>
      </c>
      <c r="G19" s="126">
        <v>0</v>
      </c>
      <c r="H19" s="126">
        <v>149.10000000000002</v>
      </c>
      <c r="I19" s="30">
        <v>31</v>
      </c>
      <c r="J19" s="30">
        <v>273</v>
      </c>
      <c r="K19" s="74">
        <v>2901.7</v>
      </c>
      <c r="L19" s="127">
        <v>0</v>
      </c>
      <c r="M19" s="30">
        <f t="shared" si="5"/>
        <v>16215899.930060305</v>
      </c>
      <c r="N19" s="30">
        <f t="shared" si="0"/>
        <v>15987142.396569408</v>
      </c>
      <c r="O19" s="49">
        <f t="shared" si="1"/>
        <v>-866302.98343059048</v>
      </c>
      <c r="P19" s="48">
        <f t="shared" si="2"/>
        <v>5.0713774319260441E-2</v>
      </c>
      <c r="Q19" t="s">
        <v>23</v>
      </c>
      <c r="R19">
        <v>-14427970.062420901</v>
      </c>
      <c r="S19">
        <v>2078230.73323364</v>
      </c>
      <c r="T19">
        <v>-6.9424293615230601</v>
      </c>
      <c r="U19" s="79">
        <v>1.8619369107404799E-10</v>
      </c>
      <c r="AA19" s="79"/>
      <c r="AD19" s="6"/>
      <c r="AE19" s="6"/>
      <c r="AF19" s="91"/>
      <c r="AG19" s="91"/>
    </row>
    <row r="20" spans="1:43" ht="12.75" customHeight="1" x14ac:dyDescent="0.2">
      <c r="A20" s="2">
        <v>41061</v>
      </c>
      <c r="B20">
        <f t="shared" si="3"/>
        <v>2012</v>
      </c>
      <c r="C20">
        <f t="shared" si="6"/>
        <v>6</v>
      </c>
      <c r="D20" s="54">
        <v>16649642.679999992</v>
      </c>
      <c r="E20" s="54">
        <v>228757.53349089678</v>
      </c>
      <c r="F20" s="54">
        <v>16878400.213490888</v>
      </c>
      <c r="G20" s="126">
        <v>0</v>
      </c>
      <c r="H20" s="126">
        <v>258.40000000000003</v>
      </c>
      <c r="I20" s="30">
        <v>30</v>
      </c>
      <c r="J20" s="30">
        <v>271</v>
      </c>
      <c r="K20" s="74">
        <v>2910.2</v>
      </c>
      <c r="L20" s="127">
        <v>0</v>
      </c>
      <c r="M20" s="30">
        <f t="shared" si="5"/>
        <v>16575225.753332837</v>
      </c>
      <c r="N20" s="30">
        <f t="shared" si="0"/>
        <v>16346468.21984194</v>
      </c>
      <c r="O20" s="49">
        <f t="shared" si="1"/>
        <v>-303174.46015805192</v>
      </c>
      <c r="P20" s="48">
        <f t="shared" si="2"/>
        <v>1.7962274642339911E-2</v>
      </c>
      <c r="Q20" t="s">
        <v>18</v>
      </c>
      <c r="R20">
        <v>5198.3710475190701</v>
      </c>
      <c r="S20">
        <v>434.14298705333601</v>
      </c>
      <c r="T20">
        <v>11.9738685238291</v>
      </c>
      <c r="U20" s="79">
        <v>1.76386451048639E-22</v>
      </c>
      <c r="AA20" s="79"/>
      <c r="AD20" s="6"/>
      <c r="AE20" s="6"/>
      <c r="AF20" s="6"/>
    </row>
    <row r="21" spans="1:43" ht="12.75" customHeight="1" x14ac:dyDescent="0.2">
      <c r="A21" s="2">
        <v>41091</v>
      </c>
      <c r="B21">
        <f t="shared" si="3"/>
        <v>2012</v>
      </c>
      <c r="C21">
        <f t="shared" si="6"/>
        <v>7</v>
      </c>
      <c r="D21" s="54">
        <v>16931323.719999995</v>
      </c>
      <c r="E21" s="54">
        <v>228757.53349089678</v>
      </c>
      <c r="F21" s="54">
        <v>17160081.253490891</v>
      </c>
      <c r="G21" s="126">
        <v>0</v>
      </c>
      <c r="H21" s="126">
        <v>381.40000000000003</v>
      </c>
      <c r="I21" s="30">
        <v>31</v>
      </c>
      <c r="J21" s="30">
        <v>271</v>
      </c>
      <c r="K21" s="74">
        <v>2925.1</v>
      </c>
      <c r="L21" s="127">
        <v>0</v>
      </c>
      <c r="M21" s="30">
        <f t="shared" si="5"/>
        <v>17807058.100963831</v>
      </c>
      <c r="N21" s="30">
        <f t="shared" si="0"/>
        <v>17578300.567472935</v>
      </c>
      <c r="O21" s="49">
        <f t="shared" si="1"/>
        <v>646976.84747293964</v>
      </c>
      <c r="P21" s="48">
        <f t="shared" si="2"/>
        <v>3.7702434966112093E-2</v>
      </c>
      <c r="Q21" t="s">
        <v>17</v>
      </c>
      <c r="R21">
        <v>6628.1046954197</v>
      </c>
      <c r="S21">
        <v>599.29134898888196</v>
      </c>
      <c r="T21">
        <v>11.059903845771499</v>
      </c>
      <c r="U21" s="79">
        <v>3.0205064667750797E-20</v>
      </c>
      <c r="AA21" s="79"/>
      <c r="AD21" s="6"/>
      <c r="AE21" s="6"/>
      <c r="AF21" s="6"/>
    </row>
    <row r="22" spans="1:43" ht="12.75" customHeight="1" x14ac:dyDescent="0.2">
      <c r="A22" s="2">
        <v>41122</v>
      </c>
      <c r="B22">
        <f t="shared" si="3"/>
        <v>2012</v>
      </c>
      <c r="C22">
        <f t="shared" si="6"/>
        <v>8</v>
      </c>
      <c r="D22" s="54">
        <v>16567283.779999997</v>
      </c>
      <c r="E22" s="54">
        <v>228757.53349089678</v>
      </c>
      <c r="F22" s="54">
        <v>16796041.313490894</v>
      </c>
      <c r="G22" s="126">
        <v>0</v>
      </c>
      <c r="H22" s="126">
        <v>296.10000000000002</v>
      </c>
      <c r="I22" s="30">
        <v>31</v>
      </c>
      <c r="J22" s="30">
        <v>270</v>
      </c>
      <c r="K22" s="74">
        <v>2942.6</v>
      </c>
      <c r="L22" s="127">
        <v>0</v>
      </c>
      <c r="M22" s="30">
        <f t="shared" si="5"/>
        <v>17291870.76003715</v>
      </c>
      <c r="N22" s="30">
        <f t="shared" si="0"/>
        <v>17063113.226546254</v>
      </c>
      <c r="O22" s="49">
        <f t="shared" si="1"/>
        <v>495829.44654625654</v>
      </c>
      <c r="P22" s="48">
        <f t="shared" si="2"/>
        <v>2.9520613654837647E-2</v>
      </c>
      <c r="Q22" t="s">
        <v>8</v>
      </c>
      <c r="R22">
        <v>353725.04918807402</v>
      </c>
      <c r="S22">
        <v>50247.526029926601</v>
      </c>
      <c r="T22">
        <v>7.0396510462505297</v>
      </c>
      <c r="U22" s="79">
        <v>1.13145767634352E-10</v>
      </c>
      <c r="AA22" s="79"/>
      <c r="AD22" s="6"/>
      <c r="AE22" s="6"/>
      <c r="AF22" s="6"/>
    </row>
    <row r="23" spans="1:43" ht="12.75" customHeight="1" x14ac:dyDescent="0.2">
      <c r="A23" s="2">
        <v>41153</v>
      </c>
      <c r="B23">
        <f t="shared" si="3"/>
        <v>2012</v>
      </c>
      <c r="C23">
        <f t="shared" si="6"/>
        <v>9</v>
      </c>
      <c r="D23" s="54">
        <v>15411421.599999998</v>
      </c>
      <c r="E23" s="54">
        <v>228757.53349089678</v>
      </c>
      <c r="F23" s="54">
        <v>15640179.133490894</v>
      </c>
      <c r="G23" s="126">
        <v>0.5</v>
      </c>
      <c r="H23" s="126">
        <v>136.99999999999997</v>
      </c>
      <c r="I23" s="30">
        <v>30</v>
      </c>
      <c r="J23" s="30">
        <v>271</v>
      </c>
      <c r="K23" s="74">
        <v>2963.5</v>
      </c>
      <c r="L23" s="127">
        <v>0</v>
      </c>
      <c r="M23" s="30">
        <f t="shared" si="5"/>
        <v>15998000.373416906</v>
      </c>
      <c r="N23" s="30">
        <f t="shared" si="0"/>
        <v>15769242.83992601</v>
      </c>
      <c r="O23" s="49">
        <f t="shared" si="1"/>
        <v>357821.23992601223</v>
      </c>
      <c r="P23" s="48">
        <f t="shared" si="2"/>
        <v>2.2878333865102376E-2</v>
      </c>
      <c r="Q23" t="s">
        <v>7</v>
      </c>
      <c r="R23">
        <v>23627.618854366599</v>
      </c>
      <c r="S23">
        <v>4034.7275532337499</v>
      </c>
      <c r="T23">
        <v>5.8560630284514597</v>
      </c>
      <c r="U23" s="79">
        <v>3.9257575445651397E-8</v>
      </c>
      <c r="AA23" s="79"/>
      <c r="AD23" s="6"/>
      <c r="AE23" s="6"/>
      <c r="AF23" s="6"/>
    </row>
    <row r="24" spans="1:43" ht="12.75" customHeight="1" x14ac:dyDescent="0.2">
      <c r="A24" s="2">
        <v>41183</v>
      </c>
      <c r="B24">
        <f t="shared" si="3"/>
        <v>2012</v>
      </c>
      <c r="C24">
        <f t="shared" si="6"/>
        <v>10</v>
      </c>
      <c r="D24" s="54">
        <v>15760124.100000001</v>
      </c>
      <c r="E24" s="54">
        <v>228757.53349089678</v>
      </c>
      <c r="F24" s="54">
        <v>15988881.633490898</v>
      </c>
      <c r="G24" s="126">
        <v>48.9</v>
      </c>
      <c r="H24" s="126">
        <v>28.9</v>
      </c>
      <c r="I24" s="30">
        <v>31</v>
      </c>
      <c r="J24" s="30">
        <v>271</v>
      </c>
      <c r="K24" s="74">
        <v>2982.9</v>
      </c>
      <c r="L24" s="127">
        <v>0</v>
      </c>
      <c r="M24" s="30">
        <f t="shared" si="5"/>
        <v>15968660.55537984</v>
      </c>
      <c r="N24" s="30">
        <f t="shared" si="0"/>
        <v>15739903.021888943</v>
      </c>
      <c r="O24" s="49">
        <f t="shared" si="1"/>
        <v>-20221.078111058101</v>
      </c>
      <c r="P24" s="48">
        <f t="shared" si="2"/>
        <v>1.2646962166948743E-3</v>
      </c>
      <c r="Q24" t="s">
        <v>14</v>
      </c>
      <c r="R24">
        <v>4218.14905411371</v>
      </c>
      <c r="S24">
        <v>693.51412660321</v>
      </c>
      <c r="T24">
        <v>6.0822828148778303</v>
      </c>
      <c r="U24" s="79">
        <v>1.33531235942946E-8</v>
      </c>
      <c r="AA24" s="79"/>
      <c r="AD24" s="6"/>
      <c r="AE24" s="6"/>
      <c r="AF24" s="6"/>
    </row>
    <row r="25" spans="1:43" ht="12.75" customHeight="1" x14ac:dyDescent="0.2">
      <c r="A25" s="2">
        <v>41214</v>
      </c>
      <c r="B25">
        <f t="shared" si="3"/>
        <v>2012</v>
      </c>
      <c r="C25">
        <f t="shared" si="6"/>
        <v>11</v>
      </c>
      <c r="D25" s="54">
        <v>16203457.51</v>
      </c>
      <c r="E25" s="54">
        <v>228757.53349089678</v>
      </c>
      <c r="F25" s="54">
        <v>16432215.043490896</v>
      </c>
      <c r="G25" s="126">
        <v>197.7</v>
      </c>
      <c r="H25" s="126">
        <v>0.5</v>
      </c>
      <c r="I25" s="30">
        <v>30</v>
      </c>
      <c r="J25" s="30">
        <v>271</v>
      </c>
      <c r="K25" s="74">
        <v>3000.2</v>
      </c>
      <c r="L25" s="127">
        <v>0</v>
      </c>
      <c r="M25" s="30">
        <f t="shared" si="5"/>
        <v>16273188.923348852</v>
      </c>
      <c r="N25" s="30">
        <f t="shared" si="0"/>
        <v>16044431.389857955</v>
      </c>
      <c r="O25" s="49">
        <f t="shared" si="1"/>
        <v>-159026.1201420445</v>
      </c>
      <c r="P25" s="48">
        <f t="shared" si="2"/>
        <v>9.6777044191031138E-3</v>
      </c>
      <c r="Q25" t="s">
        <v>12</v>
      </c>
      <c r="R25">
        <v>-1350053.7855573399</v>
      </c>
      <c r="S25">
        <v>376733.55192871002</v>
      </c>
      <c r="T25">
        <v>-3.5835772488159301</v>
      </c>
      <c r="U25">
        <v>4.8410458991495701E-4</v>
      </c>
      <c r="AB25" s="49"/>
      <c r="AC25" s="49"/>
      <c r="AD25" s="65"/>
      <c r="AE25" s="69"/>
      <c r="AF25" s="2"/>
      <c r="AG25" s="37"/>
      <c r="AJ25" s="2"/>
      <c r="AK25" s="70"/>
      <c r="AL25" s="70"/>
      <c r="AM25" s="70"/>
      <c r="AN25" s="2"/>
      <c r="AO25" s="70"/>
      <c r="AP25" s="70"/>
      <c r="AQ25" s="5"/>
    </row>
    <row r="26" spans="1:43" ht="12.75" customHeight="1" x14ac:dyDescent="0.2">
      <c r="A26" s="2">
        <v>41244</v>
      </c>
      <c r="B26">
        <f t="shared" si="3"/>
        <v>2012</v>
      </c>
      <c r="C26">
        <f t="shared" si="6"/>
        <v>12</v>
      </c>
      <c r="D26" s="54">
        <v>16462599.949999996</v>
      </c>
      <c r="E26" s="54">
        <v>228757.53349089678</v>
      </c>
      <c r="F26" s="54">
        <v>16691357.483490892</v>
      </c>
      <c r="G26" s="126">
        <v>286.00000000000006</v>
      </c>
      <c r="H26" s="126">
        <v>0</v>
      </c>
      <c r="I26" s="30">
        <v>31</v>
      </c>
      <c r="J26" s="30">
        <v>271</v>
      </c>
      <c r="K26" s="74">
        <v>3005.9</v>
      </c>
      <c r="L26" s="127">
        <v>0</v>
      </c>
      <c r="M26" s="30">
        <f t="shared" si="5"/>
        <v>17106659.533293597</v>
      </c>
      <c r="N26" s="30">
        <f t="shared" si="0"/>
        <v>16877901.999802701</v>
      </c>
      <c r="O26" s="49">
        <f t="shared" si="1"/>
        <v>415302.04980270565</v>
      </c>
      <c r="P26" s="48">
        <f t="shared" si="2"/>
        <v>2.4881262666231498E-2</v>
      </c>
      <c r="U26" s="2"/>
      <c r="AA26" s="2"/>
      <c r="AB26" s="49"/>
      <c r="AC26" s="49"/>
      <c r="AD26" s="65"/>
      <c r="AE26" s="69"/>
      <c r="AF26" s="2"/>
      <c r="AG26" s="37"/>
      <c r="AJ26" s="2"/>
      <c r="AK26" s="70"/>
      <c r="AL26" s="70"/>
      <c r="AM26" s="70"/>
      <c r="AN26" s="2"/>
      <c r="AO26" s="70"/>
      <c r="AP26" s="70"/>
      <c r="AQ26" s="5"/>
    </row>
    <row r="27" spans="1:43" ht="12.75" customHeight="1" x14ac:dyDescent="0.2">
      <c r="A27" s="2">
        <v>41275</v>
      </c>
      <c r="B27">
        <f t="shared" si="3"/>
        <v>2013</v>
      </c>
      <c r="C27">
        <f t="shared" si="6"/>
        <v>1</v>
      </c>
      <c r="D27" s="54">
        <v>16989455.739999998</v>
      </c>
      <c r="E27" s="54">
        <v>344677.17204248341</v>
      </c>
      <c r="F27" s="54">
        <v>17334132.91204248</v>
      </c>
      <c r="G27" s="126">
        <v>376.50000000000006</v>
      </c>
      <c r="H27" s="126">
        <v>0</v>
      </c>
      <c r="I27" s="30">
        <v>31</v>
      </c>
      <c r="J27" s="30">
        <v>271</v>
      </c>
      <c r="K27" s="74">
        <v>3014.1</v>
      </c>
      <c r="L27" s="127">
        <v>0</v>
      </c>
      <c r="M27" s="30">
        <f t="shared" si="5"/>
        <v>17611700.935337804</v>
      </c>
      <c r="N27" s="30">
        <f t="shared" si="0"/>
        <v>17267023.763295323</v>
      </c>
      <c r="O27" s="49">
        <f t="shared" si="1"/>
        <v>277568.0232953243</v>
      </c>
      <c r="P27" s="48">
        <f t="shared" si="2"/>
        <v>1.6012801142334061E-2</v>
      </c>
      <c r="Q27" t="s">
        <v>24</v>
      </c>
      <c r="U27" s="2"/>
      <c r="AA27" s="2"/>
      <c r="AB27" s="49"/>
      <c r="AC27" s="49"/>
      <c r="AD27" s="112"/>
      <c r="AE27" s="69"/>
      <c r="AF27" s="2"/>
      <c r="AG27" s="37"/>
      <c r="AJ27" s="2"/>
      <c r="AK27" s="70"/>
      <c r="AM27" s="5"/>
      <c r="AN27" s="2"/>
      <c r="AO27" s="70"/>
      <c r="AP27" s="5"/>
      <c r="AQ27" s="5"/>
    </row>
    <row r="28" spans="1:43" x14ac:dyDescent="0.2">
      <c r="A28" s="2">
        <v>41306</v>
      </c>
      <c r="B28">
        <f t="shared" si="3"/>
        <v>2013</v>
      </c>
      <c r="C28">
        <f t="shared" si="6"/>
        <v>2</v>
      </c>
      <c r="D28" s="54">
        <v>16279005.990000002</v>
      </c>
      <c r="E28" s="54">
        <v>344677.17204248341</v>
      </c>
      <c r="F28" s="54">
        <v>16623683.162042486</v>
      </c>
      <c r="G28" s="126">
        <v>407.49999999999989</v>
      </c>
      <c r="H28" s="126">
        <v>0</v>
      </c>
      <c r="I28" s="30">
        <v>28</v>
      </c>
      <c r="J28" s="30">
        <v>271</v>
      </c>
      <c r="K28" s="74">
        <v>3018.3</v>
      </c>
      <c r="L28" s="127">
        <v>0</v>
      </c>
      <c r="M28" s="30">
        <f t="shared" si="5"/>
        <v>16729391.516273951</v>
      </c>
      <c r="N28" s="30">
        <f t="shared" si="0"/>
        <v>16384714.344231468</v>
      </c>
      <c r="O28" s="49">
        <f t="shared" si="1"/>
        <v>105708.35423146561</v>
      </c>
      <c r="P28" s="48">
        <f t="shared" si="2"/>
        <v>6.3589009247260967E-3</v>
      </c>
      <c r="Q28" t="s">
        <v>25</v>
      </c>
      <c r="R28">
        <v>18186427.466997601</v>
      </c>
      <c r="S28" t="s">
        <v>26</v>
      </c>
      <c r="T28">
        <v>1565701.4226951101</v>
      </c>
      <c r="U28" s="2"/>
      <c r="AA28" s="2"/>
      <c r="AB28" s="49"/>
      <c r="AC28" s="49"/>
      <c r="AD28" s="65"/>
      <c r="AE28" s="69"/>
      <c r="AF28" s="2"/>
      <c r="AG28" s="37"/>
      <c r="AJ28" s="2"/>
      <c r="AK28" s="70"/>
      <c r="AM28" s="5"/>
      <c r="AN28" s="2"/>
      <c r="AO28" s="70"/>
      <c r="AP28" s="5"/>
      <c r="AQ28" s="5"/>
    </row>
    <row r="29" spans="1:43" x14ac:dyDescent="0.2">
      <c r="A29" s="2">
        <v>41334</v>
      </c>
      <c r="B29">
        <f t="shared" si="3"/>
        <v>2013</v>
      </c>
      <c r="C29">
        <f t="shared" si="6"/>
        <v>3</v>
      </c>
      <c r="D29" s="54">
        <v>17118643.850000001</v>
      </c>
      <c r="E29" s="54">
        <v>344677.17204248341</v>
      </c>
      <c r="F29" s="54">
        <v>17463321.022042483</v>
      </c>
      <c r="G29" s="126">
        <v>306.8</v>
      </c>
      <c r="H29" s="126">
        <v>0</v>
      </c>
      <c r="I29" s="30">
        <v>31</v>
      </c>
      <c r="J29" s="30">
        <v>272</v>
      </c>
      <c r="K29" s="74">
        <v>3023.1</v>
      </c>
      <c r="L29" s="127">
        <v>0</v>
      </c>
      <c r="M29" s="30">
        <f t="shared" si="5"/>
        <v>17310965.433667116</v>
      </c>
      <c r="N29" s="30">
        <f t="shared" si="0"/>
        <v>16966288.261624634</v>
      </c>
      <c r="O29" s="49">
        <f t="shared" si="1"/>
        <v>-152355.58837536722</v>
      </c>
      <c r="P29" s="48">
        <f t="shared" si="2"/>
        <v>8.7243192851498043E-3</v>
      </c>
      <c r="Q29" t="s">
        <v>27</v>
      </c>
      <c r="R29">
        <v>36486058102412</v>
      </c>
      <c r="S29" t="s">
        <v>28</v>
      </c>
      <c r="T29">
        <v>540267.03103122604</v>
      </c>
      <c r="U29" s="2"/>
      <c r="AA29" s="2"/>
      <c r="AB29" s="49"/>
      <c r="AC29" s="49"/>
      <c r="AD29" s="65"/>
      <c r="AE29" s="69"/>
      <c r="AF29" s="2"/>
      <c r="AG29" s="37"/>
      <c r="AJ29" s="2"/>
      <c r="AK29" s="70"/>
      <c r="AM29" s="5"/>
      <c r="AN29" s="2"/>
      <c r="AO29" s="70"/>
      <c r="AP29" s="5"/>
      <c r="AQ29" s="5"/>
    </row>
    <row r="30" spans="1:43" x14ac:dyDescent="0.2">
      <c r="A30" s="2">
        <v>41365</v>
      </c>
      <c r="B30">
        <f t="shared" si="3"/>
        <v>2013</v>
      </c>
      <c r="C30">
        <f t="shared" si="6"/>
        <v>4</v>
      </c>
      <c r="D30" s="54">
        <v>16317712.539999994</v>
      </c>
      <c r="E30" s="54">
        <v>344677.17204248341</v>
      </c>
      <c r="F30" s="54">
        <v>16662389.712042477</v>
      </c>
      <c r="G30" s="126">
        <v>135.19999999999999</v>
      </c>
      <c r="H30" s="126">
        <v>5.6000000000000014</v>
      </c>
      <c r="I30" s="30">
        <v>30</v>
      </c>
      <c r="J30" s="30">
        <v>273</v>
      </c>
      <c r="K30" s="74">
        <v>3031.4</v>
      </c>
      <c r="L30" s="127">
        <v>0</v>
      </c>
      <c r="M30" s="30">
        <f t="shared" si="5"/>
        <v>16160955.555022631</v>
      </c>
      <c r="N30" s="30">
        <f t="shared" si="0"/>
        <v>15816278.382980147</v>
      </c>
      <c r="O30" s="49">
        <f t="shared" si="1"/>
        <v>-501434.15701984614</v>
      </c>
      <c r="P30" s="48">
        <f t="shared" si="2"/>
        <v>3.0093772003030428E-2</v>
      </c>
      <c r="Q30" t="s">
        <v>29</v>
      </c>
      <c r="R30">
        <v>0.88641900885854397</v>
      </c>
      <c r="S30" t="s">
        <v>30</v>
      </c>
      <c r="T30">
        <v>0.88096712128375398</v>
      </c>
      <c r="U30" s="2"/>
      <c r="AA30" s="2"/>
      <c r="AB30" s="49"/>
      <c r="AC30" s="49"/>
      <c r="AD30" s="112"/>
      <c r="AE30" s="69"/>
      <c r="AF30" s="2"/>
      <c r="AG30" s="37"/>
      <c r="AJ30" s="2"/>
      <c r="AK30" s="70"/>
      <c r="AM30" s="5"/>
      <c r="AN30" s="2"/>
      <c r="AO30" s="70"/>
      <c r="AP30" s="5"/>
      <c r="AQ30" s="5"/>
    </row>
    <row r="31" spans="1:43" x14ac:dyDescent="0.2">
      <c r="A31" s="2">
        <v>41395</v>
      </c>
      <c r="B31">
        <f t="shared" si="3"/>
        <v>2013</v>
      </c>
      <c r="C31">
        <f t="shared" si="6"/>
        <v>5</v>
      </c>
      <c r="D31" s="54">
        <v>16555856.940000001</v>
      </c>
      <c r="E31" s="54">
        <v>344677.17204248341</v>
      </c>
      <c r="F31" s="54">
        <v>16900534.112042483</v>
      </c>
      <c r="G31" s="126">
        <v>14.4</v>
      </c>
      <c r="H31" s="126">
        <v>126.3</v>
      </c>
      <c r="I31" s="30">
        <v>31</v>
      </c>
      <c r="J31" s="30">
        <v>272</v>
      </c>
      <c r="K31" s="74">
        <v>3045.2</v>
      </c>
      <c r="L31" s="127">
        <v>0</v>
      </c>
      <c r="M31" s="30">
        <f t="shared" si="5"/>
        <v>16721312.45649996</v>
      </c>
      <c r="N31" s="30">
        <f t="shared" si="0"/>
        <v>16376635.284457477</v>
      </c>
      <c r="O31" s="49">
        <f t="shared" si="1"/>
        <v>-179221.65554252267</v>
      </c>
      <c r="P31" s="48">
        <f t="shared" si="2"/>
        <v>1.0604496541610374E-2</v>
      </c>
      <c r="Q31" t="s">
        <v>89</v>
      </c>
      <c r="R31">
        <v>101.957869584908</v>
      </c>
      <c r="S31" t="s">
        <v>31</v>
      </c>
      <c r="T31" s="79">
        <v>1.00478826861715E-45</v>
      </c>
      <c r="U31" s="2"/>
      <c r="Z31" s="79"/>
      <c r="AA31" s="2"/>
      <c r="AB31" s="49"/>
      <c r="AC31" s="49"/>
      <c r="AD31" s="65"/>
      <c r="AE31" s="69"/>
      <c r="AF31" s="2"/>
      <c r="AG31" s="37"/>
      <c r="AJ31" s="2"/>
      <c r="AK31" s="70"/>
      <c r="AM31" s="5"/>
      <c r="AN31" s="2"/>
      <c r="AO31" s="70"/>
      <c r="AP31" s="5"/>
      <c r="AQ31" s="5"/>
    </row>
    <row r="32" spans="1:43" x14ac:dyDescent="0.2">
      <c r="A32" s="2">
        <v>41426</v>
      </c>
      <c r="B32">
        <f t="shared" si="3"/>
        <v>2013</v>
      </c>
      <c r="C32">
        <f t="shared" si="6"/>
        <v>6</v>
      </c>
      <c r="D32" s="54">
        <v>16748419.359999999</v>
      </c>
      <c r="E32" s="54">
        <v>344677.17204248341</v>
      </c>
      <c r="F32" s="54">
        <v>17093096.532042481</v>
      </c>
      <c r="G32" s="126">
        <v>0</v>
      </c>
      <c r="H32" s="126">
        <v>207.00000000000006</v>
      </c>
      <c r="I32" s="30">
        <v>30</v>
      </c>
      <c r="J32" s="30">
        <v>273</v>
      </c>
      <c r="K32" s="74">
        <v>3060.2</v>
      </c>
      <c r="L32" s="127">
        <v>0</v>
      </c>
      <c r="M32" s="30">
        <f t="shared" si="5"/>
        <v>16914518.767814055</v>
      </c>
      <c r="N32" s="30">
        <f t="shared" si="0"/>
        <v>16569841.595771572</v>
      </c>
      <c r="O32" s="49">
        <f t="shared" si="1"/>
        <v>-178577.76422842592</v>
      </c>
      <c r="P32" s="48">
        <f t="shared" si="2"/>
        <v>1.044736182783889E-2</v>
      </c>
      <c r="Q32" t="s">
        <v>32</v>
      </c>
      <c r="R32">
        <v>-4.2801898643213598E-2</v>
      </c>
      <c r="S32" t="s">
        <v>33</v>
      </c>
      <c r="T32">
        <v>2.0605650495104402</v>
      </c>
      <c r="U32" s="2"/>
      <c r="AA32" s="2"/>
      <c r="AB32" s="49"/>
      <c r="AC32" s="49"/>
      <c r="AD32" s="65"/>
      <c r="AE32" s="69"/>
      <c r="AF32" s="2"/>
      <c r="AG32" s="37"/>
      <c r="AJ32" s="2"/>
      <c r="AK32" s="70"/>
      <c r="AM32" s="5"/>
      <c r="AN32" s="2"/>
      <c r="AO32" s="70"/>
      <c r="AP32" s="5"/>
      <c r="AQ32" s="5"/>
    </row>
    <row r="33" spans="1:47" x14ac:dyDescent="0.2">
      <c r="A33" s="2">
        <v>41456</v>
      </c>
      <c r="B33">
        <f t="shared" si="3"/>
        <v>2013</v>
      </c>
      <c r="C33">
        <f t="shared" si="6"/>
        <v>7</v>
      </c>
      <c r="D33" s="54">
        <v>17797829.260000005</v>
      </c>
      <c r="E33" s="54">
        <v>344677.17204248341</v>
      </c>
      <c r="F33" s="54">
        <v>18142506.432042487</v>
      </c>
      <c r="G33" s="126">
        <v>0</v>
      </c>
      <c r="H33" s="126">
        <v>319.3</v>
      </c>
      <c r="I33" s="30">
        <v>31</v>
      </c>
      <c r="J33" s="30">
        <v>271</v>
      </c>
      <c r="K33" s="74">
        <v>3066.1</v>
      </c>
      <c r="L33" s="127">
        <v>0</v>
      </c>
      <c r="M33" s="30">
        <f t="shared" si="5"/>
        <v>17990211.8160083</v>
      </c>
      <c r="N33" s="30">
        <f t="shared" si="0"/>
        <v>17645534.643965818</v>
      </c>
      <c r="O33" s="49">
        <f t="shared" si="1"/>
        <v>-152294.61603418738</v>
      </c>
      <c r="P33" s="48">
        <f t="shared" si="2"/>
        <v>8.394353702155034E-3</v>
      </c>
      <c r="U33" s="2"/>
      <c r="AA33" s="2"/>
      <c r="AB33" s="49"/>
      <c r="AC33" s="49"/>
      <c r="AD33" s="112"/>
      <c r="AE33" s="69"/>
      <c r="AF33" s="2"/>
      <c r="AG33" s="37"/>
      <c r="AJ33" s="2"/>
      <c r="AK33" s="70"/>
      <c r="AM33" s="5"/>
      <c r="AN33" s="2"/>
      <c r="AO33" s="70"/>
      <c r="AP33" s="5"/>
      <c r="AQ33" s="5"/>
    </row>
    <row r="34" spans="1:47" x14ac:dyDescent="0.2">
      <c r="A34" s="2">
        <v>41487</v>
      </c>
      <c r="B34">
        <f t="shared" si="3"/>
        <v>2013</v>
      </c>
      <c r="C34">
        <f t="shared" si="6"/>
        <v>8</v>
      </c>
      <c r="D34" s="54">
        <v>17433510.789999999</v>
      </c>
      <c r="E34" s="54">
        <v>344677.17204248341</v>
      </c>
      <c r="F34" s="54">
        <v>17778187.962042481</v>
      </c>
      <c r="G34" s="126">
        <v>0</v>
      </c>
      <c r="H34" s="126">
        <v>275.40000000000009</v>
      </c>
      <c r="I34" s="30">
        <v>31</v>
      </c>
      <c r="J34" s="30">
        <v>271</v>
      </c>
      <c r="K34" s="74">
        <v>3075.2</v>
      </c>
      <c r="L34" s="127">
        <v>0</v>
      </c>
      <c r="M34" s="30">
        <f t="shared" si="5"/>
        <v>17737623.176271811</v>
      </c>
      <c r="N34" s="30">
        <f t="shared" si="0"/>
        <v>17392946.00422933</v>
      </c>
      <c r="O34" s="49">
        <f t="shared" si="1"/>
        <v>-40564.78577066958</v>
      </c>
      <c r="P34" s="48">
        <f t="shared" si="2"/>
        <v>2.2817165538624004E-3</v>
      </c>
      <c r="AA34" s="79"/>
      <c r="AB34" s="49"/>
      <c r="AC34" s="49"/>
      <c r="AD34" s="65"/>
      <c r="AE34" s="69"/>
      <c r="AF34" s="2"/>
      <c r="AG34" s="37"/>
      <c r="AJ34" s="2"/>
      <c r="AK34" s="70"/>
      <c r="AM34" s="5"/>
      <c r="AN34" s="2"/>
      <c r="AO34" s="70"/>
      <c r="AP34" s="5"/>
      <c r="AQ34" s="5"/>
    </row>
    <row r="35" spans="1:47" x14ac:dyDescent="0.2">
      <c r="A35" s="2">
        <v>41518</v>
      </c>
      <c r="B35">
        <f t="shared" si="3"/>
        <v>2013</v>
      </c>
      <c r="C35">
        <f t="shared" si="6"/>
        <v>9</v>
      </c>
      <c r="D35" s="54">
        <v>16323800.050000003</v>
      </c>
      <c r="E35" s="54">
        <v>344677.17204248341</v>
      </c>
      <c r="F35" s="54">
        <v>16668477.222042486</v>
      </c>
      <c r="G35" s="126">
        <v>0</v>
      </c>
      <c r="H35" s="126">
        <v>125.1</v>
      </c>
      <c r="I35" s="30">
        <v>30</v>
      </c>
      <c r="J35" s="30">
        <v>272</v>
      </c>
      <c r="K35" s="74">
        <v>3080.1</v>
      </c>
      <c r="L35" s="127">
        <v>0</v>
      </c>
      <c r="M35" s="30">
        <f t="shared" si="5"/>
        <v>16431990.540581677</v>
      </c>
      <c r="N35" s="30">
        <f t="shared" ref="N35:N66" si="7">M35-E35</f>
        <v>16087313.368539194</v>
      </c>
      <c r="O35" s="49">
        <f t="shared" ref="O35:O66" si="8">+M35-F35</f>
        <v>-236486.68146080896</v>
      </c>
      <c r="P35" s="48">
        <f t="shared" ref="P35:P66" si="9">ABS(O35/F35)</f>
        <v>1.4187659635043186E-2</v>
      </c>
      <c r="AA35" s="79"/>
      <c r="AB35" s="49"/>
      <c r="AC35" s="49"/>
      <c r="AD35" s="65"/>
      <c r="AE35" s="69"/>
      <c r="AF35" s="2"/>
      <c r="AG35" s="37"/>
      <c r="AJ35" s="2"/>
      <c r="AK35" s="70"/>
      <c r="AM35" s="5"/>
      <c r="AN35" s="2"/>
      <c r="AO35" s="70"/>
      <c r="AP35" s="5"/>
      <c r="AQ35" s="5"/>
    </row>
    <row r="36" spans="1:47" x14ac:dyDescent="0.2">
      <c r="A36" s="2">
        <v>41548</v>
      </c>
      <c r="B36">
        <f t="shared" si="3"/>
        <v>2013</v>
      </c>
      <c r="C36">
        <f t="shared" si="6"/>
        <v>10</v>
      </c>
      <c r="D36" s="54">
        <v>16888949.909999996</v>
      </c>
      <c r="E36" s="54">
        <v>344677.17204248341</v>
      </c>
      <c r="F36" s="54">
        <v>17233627.082042478</v>
      </c>
      <c r="G36" s="126">
        <v>50.6</v>
      </c>
      <c r="H36" s="126">
        <v>37.9</v>
      </c>
      <c r="I36" s="30">
        <v>31</v>
      </c>
      <c r="J36" s="30">
        <v>274</v>
      </c>
      <c r="K36" s="74">
        <v>3079.6</v>
      </c>
      <c r="L36" s="127">
        <v>0</v>
      </c>
      <c r="M36" s="30">
        <f t="shared" si="5"/>
        <v>16515928.598515294</v>
      </c>
      <c r="N36" s="30">
        <f t="shared" si="7"/>
        <v>16171251.426472811</v>
      </c>
      <c r="O36" s="49">
        <f t="shared" si="8"/>
        <v>-717698.48352718353</v>
      </c>
      <c r="P36" s="48">
        <f t="shared" si="9"/>
        <v>4.1645236960884964E-2</v>
      </c>
      <c r="U36" s="2"/>
      <c r="AA36" s="79"/>
      <c r="AB36" s="49"/>
      <c r="AC36" s="49"/>
      <c r="AE36" s="69"/>
      <c r="AF36" s="2"/>
      <c r="AG36" s="37"/>
      <c r="AJ36" s="2"/>
      <c r="AK36" s="70"/>
      <c r="AM36" s="5"/>
      <c r="AN36" s="2"/>
      <c r="AO36" s="70"/>
      <c r="AP36" s="5"/>
      <c r="AQ36" s="5"/>
    </row>
    <row r="37" spans="1:47" x14ac:dyDescent="0.2">
      <c r="A37" s="2">
        <v>41579</v>
      </c>
      <c r="B37">
        <f t="shared" si="3"/>
        <v>2013</v>
      </c>
      <c r="C37">
        <f t="shared" si="6"/>
        <v>11</v>
      </c>
      <c r="D37" s="54">
        <v>16378559.519999998</v>
      </c>
      <c r="E37" s="54">
        <v>344677.17204248341</v>
      </c>
      <c r="F37" s="54">
        <v>16723236.692042481</v>
      </c>
      <c r="G37" s="126">
        <v>243.5</v>
      </c>
      <c r="H37" s="126">
        <v>0</v>
      </c>
      <c r="I37" s="30">
        <v>30</v>
      </c>
      <c r="J37" s="30">
        <v>273</v>
      </c>
      <c r="K37" s="74">
        <v>3076.6</v>
      </c>
      <c r="L37" s="127">
        <v>0</v>
      </c>
      <c r="M37" s="30">
        <f t="shared" si="5"/>
        <v>16877482.090420537</v>
      </c>
      <c r="N37" s="30">
        <f t="shared" si="7"/>
        <v>16532804.918378053</v>
      </c>
      <c r="O37" s="49">
        <f t="shared" si="8"/>
        <v>154245.39837805554</v>
      </c>
      <c r="P37" s="48">
        <f t="shared" si="9"/>
        <v>9.223417764065437E-3</v>
      </c>
      <c r="U37" s="2"/>
      <c r="AA37" s="79"/>
      <c r="AB37" s="5"/>
      <c r="AC37" s="5"/>
      <c r="AF37" s="2"/>
      <c r="AJ37" s="2"/>
      <c r="AK37" s="72"/>
      <c r="AM37" s="5"/>
      <c r="AN37" s="2"/>
      <c r="AO37" s="72"/>
      <c r="AP37" s="5"/>
      <c r="AQ37" s="5"/>
      <c r="AR37" s="28"/>
      <c r="AS37" s="28"/>
      <c r="AT37" s="28"/>
    </row>
    <row r="38" spans="1:47" x14ac:dyDescent="0.2">
      <c r="A38" s="2">
        <v>41609</v>
      </c>
      <c r="B38">
        <f t="shared" si="3"/>
        <v>2013</v>
      </c>
      <c r="C38">
        <f t="shared" si="6"/>
        <v>12</v>
      </c>
      <c r="D38" s="54">
        <v>18347866.910000004</v>
      </c>
      <c r="E38" s="54">
        <v>344677.17204248341</v>
      </c>
      <c r="F38" s="54">
        <v>18692544.082042485</v>
      </c>
      <c r="G38" s="126">
        <v>439.89999999999992</v>
      </c>
      <c r="H38" s="126">
        <v>0</v>
      </c>
      <c r="I38" s="30">
        <v>31</v>
      </c>
      <c r="J38" s="30">
        <v>273</v>
      </c>
      <c r="K38" s="74">
        <v>3073.7</v>
      </c>
      <c r="L38" s="127">
        <v>0</v>
      </c>
      <c r="M38" s="30">
        <f t="shared" si="5"/>
        <v>18239934.581084423</v>
      </c>
      <c r="N38" s="30">
        <f t="shared" si="7"/>
        <v>17895257.409041941</v>
      </c>
      <c r="O38" s="49">
        <f t="shared" si="8"/>
        <v>-452609.50095806271</v>
      </c>
      <c r="P38" s="48">
        <f t="shared" si="9"/>
        <v>2.4213370794876159E-2</v>
      </c>
      <c r="U38" s="79"/>
      <c r="AA38" s="79"/>
      <c r="AB38" s="5"/>
      <c r="AC38" s="5"/>
      <c r="AF38" s="2"/>
      <c r="AJ38" s="2"/>
      <c r="AK38" s="72"/>
      <c r="AM38" s="5"/>
      <c r="AN38" s="2"/>
      <c r="AO38" s="72"/>
      <c r="AP38" s="5"/>
      <c r="AQ38" s="5"/>
      <c r="AR38" s="28"/>
      <c r="AS38" s="28"/>
      <c r="AT38" s="28"/>
    </row>
    <row r="39" spans="1:47" x14ac:dyDescent="0.2">
      <c r="A39" s="2">
        <v>41640</v>
      </c>
      <c r="B39">
        <f t="shared" si="3"/>
        <v>2014</v>
      </c>
      <c r="C39">
        <f t="shared" si="6"/>
        <v>1</v>
      </c>
      <c r="D39" s="54">
        <v>18474770.990000002</v>
      </c>
      <c r="E39" s="54">
        <v>480728.51896375552</v>
      </c>
      <c r="F39" s="54">
        <v>18955499.508963756</v>
      </c>
      <c r="G39" s="126">
        <v>577.90000000000009</v>
      </c>
      <c r="H39" s="126">
        <v>0</v>
      </c>
      <c r="I39" s="30">
        <v>31</v>
      </c>
      <c r="J39" s="30">
        <v>274</v>
      </c>
      <c r="K39" s="74">
        <v>3070.8</v>
      </c>
      <c r="L39" s="127">
        <v>0</v>
      </c>
      <c r="M39" s="30">
        <f t="shared" si="5"/>
        <v>18968704.772239495</v>
      </c>
      <c r="N39" s="30">
        <f t="shared" si="7"/>
        <v>18487976.253275741</v>
      </c>
      <c r="O39" s="49">
        <f t="shared" si="8"/>
        <v>13205.263275738806</v>
      </c>
      <c r="P39" s="48">
        <f t="shared" si="9"/>
        <v>6.9664549169460004E-4</v>
      </c>
      <c r="U39" s="79"/>
      <c r="AA39" s="2"/>
      <c r="AB39" s="5"/>
      <c r="AC39" s="5"/>
      <c r="AF39" s="2"/>
      <c r="AJ39" s="2"/>
      <c r="AK39" s="72"/>
      <c r="AM39" s="5"/>
      <c r="AN39" s="2"/>
      <c r="AO39" s="72"/>
      <c r="AP39" s="5"/>
      <c r="AQ39" s="5"/>
      <c r="AR39" s="28"/>
      <c r="AS39" s="28"/>
      <c r="AT39" s="28"/>
    </row>
    <row r="40" spans="1:47" x14ac:dyDescent="0.2">
      <c r="A40" s="2">
        <v>41671</v>
      </c>
      <c r="B40">
        <f t="shared" si="3"/>
        <v>2014</v>
      </c>
      <c r="C40">
        <f t="shared" si="6"/>
        <v>2</v>
      </c>
      <c r="D40" s="54">
        <v>17309349.019999996</v>
      </c>
      <c r="E40" s="54">
        <v>480728.51896375552</v>
      </c>
      <c r="F40" s="54">
        <v>17790077.53896375</v>
      </c>
      <c r="G40" s="126">
        <v>513.09999999999991</v>
      </c>
      <c r="H40" s="126">
        <v>0</v>
      </c>
      <c r="I40" s="30">
        <v>28</v>
      </c>
      <c r="J40" s="30">
        <v>274</v>
      </c>
      <c r="K40" s="74">
        <v>3071.7</v>
      </c>
      <c r="L40" s="127">
        <v>0</v>
      </c>
      <c r="M40" s="30">
        <f t="shared" si="5"/>
        <v>17574471.514944736</v>
      </c>
      <c r="N40" s="30">
        <f t="shared" si="7"/>
        <v>17093742.995980982</v>
      </c>
      <c r="O40" s="49">
        <f t="shared" si="8"/>
        <v>-215606.02401901409</v>
      </c>
      <c r="P40" s="48">
        <f t="shared" si="9"/>
        <v>1.2119453866729626E-2</v>
      </c>
      <c r="U40" s="79"/>
      <c r="AA40" s="2"/>
      <c r="AB40" s="5"/>
      <c r="AC40" s="5"/>
      <c r="AF40" s="2"/>
      <c r="AJ40" s="2"/>
      <c r="AK40" s="72"/>
      <c r="AM40" s="5"/>
      <c r="AN40" s="2"/>
      <c r="AO40" s="72"/>
      <c r="AP40" s="5"/>
      <c r="AQ40" s="5"/>
      <c r="AR40" s="28"/>
      <c r="AS40" s="28"/>
      <c r="AT40" s="28"/>
    </row>
    <row r="41" spans="1:47" x14ac:dyDescent="0.2">
      <c r="A41" s="2">
        <v>41699</v>
      </c>
      <c r="B41">
        <f t="shared" si="3"/>
        <v>2014</v>
      </c>
      <c r="C41">
        <f t="shared" si="6"/>
        <v>3</v>
      </c>
      <c r="D41" s="54">
        <v>18435424.780000001</v>
      </c>
      <c r="E41" s="54">
        <v>480728.51896375552</v>
      </c>
      <c r="F41" s="54">
        <v>18916153.298963755</v>
      </c>
      <c r="G41" s="126">
        <v>442.59999999999991</v>
      </c>
      <c r="H41" s="126">
        <v>0</v>
      </c>
      <c r="I41" s="30">
        <v>31</v>
      </c>
      <c r="J41" s="30">
        <v>275</v>
      </c>
      <c r="K41" s="74">
        <v>3074.2</v>
      </c>
      <c r="L41" s="127">
        <v>0</v>
      </c>
      <c r="M41" s="30">
        <f t="shared" si="5"/>
        <v>18303334.495148513</v>
      </c>
      <c r="N41" s="30">
        <f t="shared" si="7"/>
        <v>17822605.976184759</v>
      </c>
      <c r="O41" s="49">
        <f t="shared" si="8"/>
        <v>-612818.8038152419</v>
      </c>
      <c r="P41" s="48">
        <f t="shared" si="9"/>
        <v>3.239658688158404E-2</v>
      </c>
      <c r="U41" s="79"/>
      <c r="AA41" s="2"/>
      <c r="AB41" s="5"/>
      <c r="AC41" s="5"/>
      <c r="AF41" s="2"/>
      <c r="AJ41" s="2"/>
      <c r="AK41" s="72"/>
      <c r="AM41" s="5"/>
      <c r="AN41" s="2"/>
      <c r="AO41" s="72"/>
      <c r="AP41" s="5"/>
      <c r="AQ41" s="5"/>
      <c r="AR41" s="28"/>
      <c r="AS41" s="28"/>
      <c r="AT41" s="28"/>
    </row>
    <row r="42" spans="1:47" x14ac:dyDescent="0.2">
      <c r="A42" s="2">
        <v>41730</v>
      </c>
      <c r="B42">
        <f t="shared" si="3"/>
        <v>2014</v>
      </c>
      <c r="C42">
        <f t="shared" si="6"/>
        <v>4</v>
      </c>
      <c r="D42" s="54">
        <v>16625533.470000004</v>
      </c>
      <c r="E42" s="54">
        <v>480728.51896375552</v>
      </c>
      <c r="F42" s="54">
        <v>17106261.98896376</v>
      </c>
      <c r="G42" s="126">
        <v>126.49999999999997</v>
      </c>
      <c r="H42" s="126">
        <v>2.5999999999999996</v>
      </c>
      <c r="I42" s="30">
        <v>30</v>
      </c>
      <c r="J42" s="30">
        <v>276</v>
      </c>
      <c r="K42" s="74">
        <v>3082.6</v>
      </c>
      <c r="L42" s="127">
        <v>0</v>
      </c>
      <c r="M42" s="30">
        <f t="shared" si="5"/>
        <v>16382697.500956679</v>
      </c>
      <c r="N42" s="30">
        <f t="shared" si="7"/>
        <v>15901968.981992923</v>
      </c>
      <c r="O42" s="49">
        <f t="shared" si="8"/>
        <v>-723564.48800708167</v>
      </c>
      <c r="P42" s="48">
        <f t="shared" si="9"/>
        <v>4.2298223216380937E-2</v>
      </c>
      <c r="U42" s="79"/>
      <c r="AA42" s="2"/>
      <c r="AB42" s="5"/>
      <c r="AC42" s="5"/>
      <c r="AF42" s="2"/>
      <c r="AJ42" s="2"/>
      <c r="AK42" s="72"/>
      <c r="AM42" s="5"/>
      <c r="AN42" s="2"/>
      <c r="AO42" s="72"/>
      <c r="AP42" s="5"/>
      <c r="AQ42" s="5"/>
      <c r="AR42" s="28"/>
      <c r="AS42" s="28"/>
      <c r="AT42" s="28"/>
    </row>
    <row r="43" spans="1:47" x14ac:dyDescent="0.2">
      <c r="A43" s="2">
        <v>41760</v>
      </c>
      <c r="B43">
        <f t="shared" si="3"/>
        <v>2014</v>
      </c>
      <c r="C43">
        <f t="shared" si="6"/>
        <v>5</v>
      </c>
      <c r="D43" s="54">
        <v>16304922.880000003</v>
      </c>
      <c r="E43" s="54">
        <v>480728.51896375552</v>
      </c>
      <c r="F43" s="54">
        <v>16785651.398963757</v>
      </c>
      <c r="G43" s="126">
        <v>7.2000000000000011</v>
      </c>
      <c r="H43" s="126">
        <v>92</v>
      </c>
      <c r="I43" s="30">
        <v>31</v>
      </c>
      <c r="J43" s="30">
        <v>278</v>
      </c>
      <c r="K43" s="74">
        <v>3070.2</v>
      </c>
      <c r="L43" s="127">
        <v>0</v>
      </c>
      <c r="M43" s="30">
        <f t="shared" si="5"/>
        <v>16703759.633383969</v>
      </c>
      <c r="N43" s="30">
        <f t="shared" si="7"/>
        <v>16223031.114420213</v>
      </c>
      <c r="O43" s="49">
        <f t="shared" si="8"/>
        <v>-81891.765579788014</v>
      </c>
      <c r="P43" s="48">
        <f t="shared" si="9"/>
        <v>4.8786766526584431E-3</v>
      </c>
      <c r="U43" s="79"/>
      <c r="AA43" s="2"/>
      <c r="AB43" s="5"/>
      <c r="AC43" s="5"/>
      <c r="AF43" s="2"/>
      <c r="AJ43" s="2"/>
      <c r="AK43" s="72"/>
      <c r="AM43" s="5"/>
      <c r="AN43" s="2"/>
      <c r="AO43" s="72"/>
      <c r="AP43" s="5"/>
      <c r="AQ43" s="5"/>
      <c r="AR43" s="28"/>
      <c r="AS43" s="28"/>
      <c r="AT43" s="28"/>
    </row>
    <row r="44" spans="1:47" x14ac:dyDescent="0.2">
      <c r="A44" s="2">
        <v>41791</v>
      </c>
      <c r="B44">
        <f t="shared" si="3"/>
        <v>2014</v>
      </c>
      <c r="C44">
        <f t="shared" si="6"/>
        <v>6</v>
      </c>
      <c r="D44" s="54">
        <v>16672277.809999999</v>
      </c>
      <c r="E44" s="54">
        <v>480728.51896375552</v>
      </c>
      <c r="F44" s="54">
        <v>17153006.328963753</v>
      </c>
      <c r="G44" s="126">
        <v>0</v>
      </c>
      <c r="H44" s="126">
        <v>234</v>
      </c>
      <c r="I44" s="30">
        <v>30</v>
      </c>
      <c r="J44" s="30">
        <v>279</v>
      </c>
      <c r="K44" s="74">
        <v>3046.3</v>
      </c>
      <c r="L44" s="127">
        <v>0</v>
      </c>
      <c r="M44" s="30">
        <f t="shared" si="5"/>
        <v>17176611.035864409</v>
      </c>
      <c r="N44" s="30">
        <f t="shared" si="7"/>
        <v>16695882.516900653</v>
      </c>
      <c r="O44" s="49">
        <f t="shared" si="8"/>
        <v>23604.706900656223</v>
      </c>
      <c r="P44" s="48">
        <f t="shared" si="9"/>
        <v>1.3761265196292987E-3</v>
      </c>
      <c r="U44" s="79"/>
      <c r="Z44" s="79"/>
      <c r="AA44" s="2"/>
      <c r="AB44" s="5"/>
      <c r="AC44" s="5"/>
      <c r="AF44" s="2"/>
      <c r="AJ44" s="2"/>
      <c r="AK44" s="72"/>
      <c r="AM44" s="5"/>
      <c r="AN44" s="2"/>
      <c r="AO44" s="72"/>
      <c r="AP44" s="5"/>
      <c r="AQ44" s="5"/>
      <c r="AR44" s="28"/>
      <c r="AS44" s="28"/>
      <c r="AT44" s="28"/>
    </row>
    <row r="45" spans="1:47" x14ac:dyDescent="0.2">
      <c r="A45" s="2">
        <v>41821</v>
      </c>
      <c r="B45">
        <f t="shared" si="3"/>
        <v>2014</v>
      </c>
      <c r="C45">
        <f t="shared" si="6"/>
        <v>7</v>
      </c>
      <c r="D45" s="54">
        <v>16686928.109999999</v>
      </c>
      <c r="E45" s="54">
        <v>480728.51896375552</v>
      </c>
      <c r="F45" s="54">
        <v>17167656.628963754</v>
      </c>
      <c r="G45" s="126">
        <v>0</v>
      </c>
      <c r="H45" s="126">
        <v>253</v>
      </c>
      <c r="I45" s="30">
        <v>31</v>
      </c>
      <c r="J45" s="30">
        <v>282</v>
      </c>
      <c r="K45" s="74">
        <v>3021.9</v>
      </c>
      <c r="L45" s="127">
        <v>0</v>
      </c>
      <c r="M45" s="30">
        <f t="shared" si="5"/>
        <v>17624230.09390818</v>
      </c>
      <c r="N45" s="30">
        <f t="shared" si="7"/>
        <v>17143501.574944425</v>
      </c>
      <c r="O45" s="49">
        <f t="shared" si="8"/>
        <v>456573.46494442597</v>
      </c>
      <c r="P45" s="48">
        <f t="shared" si="9"/>
        <v>2.6594978849596489E-2</v>
      </c>
      <c r="T45" s="79"/>
      <c r="AA45" s="2"/>
      <c r="AB45" s="5"/>
      <c r="AC45" s="5"/>
      <c r="AF45" s="2"/>
      <c r="AJ45" s="2"/>
      <c r="AK45" s="72"/>
      <c r="AM45" s="5"/>
      <c r="AN45" s="2"/>
      <c r="AO45" s="72"/>
      <c r="AP45" s="5"/>
      <c r="AQ45" s="5"/>
      <c r="AR45" s="28"/>
      <c r="AS45" s="28"/>
      <c r="AT45" s="28"/>
    </row>
    <row r="46" spans="1:47" x14ac:dyDescent="0.2">
      <c r="A46" s="2">
        <v>41852</v>
      </c>
      <c r="B46">
        <f t="shared" si="3"/>
        <v>2014</v>
      </c>
      <c r="C46">
        <f t="shared" si="6"/>
        <v>8</v>
      </c>
      <c r="D46" s="54">
        <v>16611492.549999997</v>
      </c>
      <c r="E46" s="54">
        <v>480728.51896375552</v>
      </c>
      <c r="F46" s="54">
        <v>17092221.068963751</v>
      </c>
      <c r="G46" s="126">
        <v>0</v>
      </c>
      <c r="H46" s="126">
        <v>259</v>
      </c>
      <c r="I46" s="30">
        <v>31</v>
      </c>
      <c r="J46" s="30">
        <v>283</v>
      </c>
      <c r="K46" s="74">
        <v>3010.9</v>
      </c>
      <c r="L46" s="127">
        <v>0</v>
      </c>
      <c r="M46" s="30">
        <f t="shared" si="5"/>
        <v>17641226.701339811</v>
      </c>
      <c r="N46" s="30">
        <f t="shared" si="7"/>
        <v>17160498.182376057</v>
      </c>
      <c r="O46" s="49">
        <f t="shared" si="8"/>
        <v>549005.63237605989</v>
      </c>
      <c r="P46" s="48">
        <f t="shared" si="9"/>
        <v>3.2120204282458674E-2</v>
      </c>
      <c r="T46" s="79"/>
      <c r="AA46" s="2"/>
      <c r="AB46" s="5"/>
      <c r="AC46" s="5"/>
      <c r="AF46" s="2"/>
      <c r="AJ46" s="2"/>
      <c r="AK46" s="72"/>
      <c r="AM46" s="5"/>
      <c r="AN46" s="2"/>
      <c r="AO46" s="72"/>
      <c r="AP46" s="5"/>
      <c r="AQ46" s="5"/>
      <c r="AR46" s="28"/>
      <c r="AS46" s="28"/>
      <c r="AT46" s="28"/>
      <c r="AU46" s="28"/>
    </row>
    <row r="47" spans="1:47" x14ac:dyDescent="0.2">
      <c r="A47" s="2">
        <v>41883</v>
      </c>
      <c r="B47">
        <f t="shared" si="3"/>
        <v>2014</v>
      </c>
      <c r="C47">
        <f t="shared" si="6"/>
        <v>9</v>
      </c>
      <c r="D47" s="54">
        <v>16361292.15</v>
      </c>
      <c r="E47" s="54">
        <v>480728.51896375552</v>
      </c>
      <c r="F47" s="54">
        <v>16842020.668963756</v>
      </c>
      <c r="G47" s="126">
        <v>0.79999999999999893</v>
      </c>
      <c r="H47" s="126">
        <v>148.69999999999999</v>
      </c>
      <c r="I47" s="30">
        <v>30</v>
      </c>
      <c r="J47" s="30">
        <v>283</v>
      </c>
      <c r="K47" s="74">
        <v>3013.7</v>
      </c>
      <c r="L47" s="127">
        <v>0</v>
      </c>
      <c r="M47" s="30">
        <f t="shared" si="5"/>
        <v>16572391.21843648</v>
      </c>
      <c r="N47" s="30">
        <f t="shared" si="7"/>
        <v>16091662.699472724</v>
      </c>
      <c r="O47" s="49">
        <f t="shared" si="8"/>
        <v>-269629.45052727684</v>
      </c>
      <c r="P47" s="48">
        <f t="shared" si="9"/>
        <v>1.6009329036399195E-2</v>
      </c>
      <c r="AA47" s="2"/>
      <c r="AB47" s="5"/>
      <c r="AC47" s="5"/>
      <c r="AF47" s="2"/>
      <c r="AJ47" s="2"/>
      <c r="AK47" s="72"/>
      <c r="AM47" s="5"/>
      <c r="AN47" s="2"/>
      <c r="AO47" s="57"/>
      <c r="AP47" s="5"/>
      <c r="AQ47" s="5"/>
      <c r="AR47" s="28"/>
      <c r="AS47" s="28"/>
      <c r="AT47" s="28"/>
    </row>
    <row r="48" spans="1:47" x14ac:dyDescent="0.2">
      <c r="A48" s="2">
        <v>41913</v>
      </c>
      <c r="B48">
        <f t="shared" si="3"/>
        <v>2014</v>
      </c>
      <c r="C48">
        <f t="shared" si="6"/>
        <v>10</v>
      </c>
      <c r="D48" s="54">
        <v>16487938.609999999</v>
      </c>
      <c r="E48" s="54">
        <v>480728.51896375552</v>
      </c>
      <c r="F48" s="54">
        <v>16968667.128963754</v>
      </c>
      <c r="G48" s="126">
        <v>36.099999999999994</v>
      </c>
      <c r="H48" s="126">
        <v>38.1</v>
      </c>
      <c r="I48" s="30">
        <v>31</v>
      </c>
      <c r="J48" s="30">
        <v>282</v>
      </c>
      <c r="K48" s="74">
        <v>3027.3</v>
      </c>
      <c r="L48" s="127">
        <v>0</v>
      </c>
      <c r="M48" s="30">
        <f t="shared" si="5"/>
        <v>16410289.594570139</v>
      </c>
      <c r="N48" s="30">
        <f t="shared" si="7"/>
        <v>15929561.075606383</v>
      </c>
      <c r="O48" s="49">
        <f t="shared" si="8"/>
        <v>-558377.53439361416</v>
      </c>
      <c r="P48" s="48">
        <f t="shared" si="9"/>
        <v>3.2906387410978302E-2</v>
      </c>
      <c r="AA48" s="2"/>
      <c r="AB48" s="5"/>
      <c r="AC48" s="5"/>
      <c r="AF48" s="2"/>
      <c r="AJ48" s="2"/>
      <c r="AK48" s="72"/>
      <c r="AM48" s="5"/>
      <c r="AN48" s="2"/>
      <c r="AO48" s="72"/>
      <c r="AP48" s="5"/>
      <c r="AQ48" s="5"/>
      <c r="AR48" s="28"/>
      <c r="AS48" s="28"/>
      <c r="AT48" s="28"/>
    </row>
    <row r="49" spans="1:46" x14ac:dyDescent="0.2">
      <c r="A49" s="2">
        <v>41944</v>
      </c>
      <c r="B49">
        <f t="shared" si="3"/>
        <v>2014</v>
      </c>
      <c r="C49">
        <f t="shared" si="6"/>
        <v>11</v>
      </c>
      <c r="D49" s="54">
        <v>17004284.760000002</v>
      </c>
      <c r="E49" s="54">
        <v>480728.51896375552</v>
      </c>
      <c r="F49" s="54">
        <v>17485013.278963756</v>
      </c>
      <c r="G49" s="126">
        <v>244.20000000000002</v>
      </c>
      <c r="H49" s="126">
        <v>0</v>
      </c>
      <c r="I49" s="30">
        <v>30</v>
      </c>
      <c r="J49" s="30">
        <v>284</v>
      </c>
      <c r="K49" s="74">
        <v>3036.7</v>
      </c>
      <c r="L49" s="127">
        <v>0</v>
      </c>
      <c r="M49" s="30">
        <f t="shared" si="5"/>
        <v>16972720.610292695</v>
      </c>
      <c r="N49" s="30">
        <f t="shared" si="7"/>
        <v>16491992.091328939</v>
      </c>
      <c r="O49" s="49">
        <f t="shared" si="8"/>
        <v>-512292.66867106035</v>
      </c>
      <c r="P49" s="48">
        <f t="shared" si="9"/>
        <v>2.9298957941736332E-2</v>
      </c>
      <c r="AA49" s="2"/>
      <c r="AB49" s="5"/>
      <c r="AC49" s="5"/>
      <c r="AF49" s="2"/>
      <c r="AJ49" s="2"/>
      <c r="AK49" s="72"/>
      <c r="AM49" s="5"/>
      <c r="AN49" s="2"/>
      <c r="AO49" s="72"/>
      <c r="AP49" s="5"/>
      <c r="AQ49" s="5"/>
      <c r="AR49" s="28"/>
      <c r="AS49" s="28"/>
      <c r="AT49" s="28"/>
    </row>
    <row r="50" spans="1:46" x14ac:dyDescent="0.2">
      <c r="A50" s="2">
        <v>41974</v>
      </c>
      <c r="B50">
        <f t="shared" si="3"/>
        <v>2014</v>
      </c>
      <c r="C50">
        <f t="shared" si="6"/>
        <v>12</v>
      </c>
      <c r="D50" s="54">
        <v>17950454.600000001</v>
      </c>
      <c r="E50" s="54">
        <v>480728.51896375552</v>
      </c>
      <c r="F50" s="54">
        <v>18431183.118963756</v>
      </c>
      <c r="G50" s="126">
        <v>309.30000000000007</v>
      </c>
      <c r="H50" s="126">
        <v>0</v>
      </c>
      <c r="I50" s="30">
        <v>31</v>
      </c>
      <c r="J50" s="30">
        <v>284</v>
      </c>
      <c r="K50" s="74">
        <v>3034.6</v>
      </c>
      <c r="L50" s="127">
        <v>0</v>
      </c>
      <c r="M50" s="30">
        <f t="shared" si="5"/>
        <v>17656001.501660623</v>
      </c>
      <c r="N50" s="30">
        <f t="shared" si="7"/>
        <v>17175272.982696868</v>
      </c>
      <c r="O50" s="49">
        <f t="shared" si="8"/>
        <v>-775181.61730313301</v>
      </c>
      <c r="P50" s="48">
        <f t="shared" si="9"/>
        <v>4.2058158301598793E-2</v>
      </c>
      <c r="T50" s="79"/>
      <c r="AA50" s="2"/>
      <c r="AB50" s="5"/>
      <c r="AC50" s="5"/>
      <c r="AF50" s="2"/>
      <c r="AJ50" s="2"/>
      <c r="AK50" s="72"/>
      <c r="AM50" s="5"/>
      <c r="AN50" s="2"/>
      <c r="AO50" s="72"/>
      <c r="AP50" s="5"/>
      <c r="AQ50" s="5"/>
      <c r="AR50" s="28"/>
      <c r="AS50" s="28"/>
      <c r="AT50" s="28"/>
    </row>
    <row r="51" spans="1:46" x14ac:dyDescent="0.2">
      <c r="A51" s="2">
        <v>42005</v>
      </c>
      <c r="B51">
        <f t="shared" si="3"/>
        <v>2015</v>
      </c>
      <c r="C51">
        <f t="shared" si="6"/>
        <v>1</v>
      </c>
      <c r="D51" s="54">
        <v>18875685.754216857</v>
      </c>
      <c r="E51" s="54">
        <v>555044.66445330705</v>
      </c>
      <c r="F51" s="54">
        <v>19430730.418670163</v>
      </c>
      <c r="G51" s="126">
        <v>544.4</v>
      </c>
      <c r="H51" s="126">
        <v>0</v>
      </c>
      <c r="I51" s="30">
        <v>31</v>
      </c>
      <c r="J51" s="30">
        <v>286</v>
      </c>
      <c r="K51" s="74">
        <v>3029.1</v>
      </c>
      <c r="L51" s="127">
        <v>0</v>
      </c>
      <c r="M51" s="30">
        <f t="shared" si="5"/>
        <v>18902193.952843461</v>
      </c>
      <c r="N51" s="30">
        <f t="shared" si="7"/>
        <v>18347149.288390156</v>
      </c>
      <c r="O51" s="49">
        <f t="shared" si="8"/>
        <v>-528536.46582670137</v>
      </c>
      <c r="P51" s="48">
        <f t="shared" si="9"/>
        <v>2.7201060095962896E-2</v>
      </c>
      <c r="AA51" s="2"/>
      <c r="AB51" s="5"/>
      <c r="AC51" s="5"/>
      <c r="AF51" s="2"/>
      <c r="AJ51" s="2"/>
      <c r="AK51" s="72"/>
      <c r="AM51" s="5"/>
      <c r="AN51" s="2"/>
      <c r="AO51" s="72"/>
      <c r="AP51" s="5"/>
      <c r="AQ51" s="5"/>
      <c r="AR51" s="28"/>
      <c r="AS51" s="28"/>
      <c r="AT51" s="28"/>
    </row>
    <row r="52" spans="1:46" x14ac:dyDescent="0.2">
      <c r="A52" s="2">
        <v>42036</v>
      </c>
      <c r="B52">
        <f t="shared" si="3"/>
        <v>2015</v>
      </c>
      <c r="C52">
        <f t="shared" si="6"/>
        <v>2</v>
      </c>
      <c r="D52" s="54">
        <v>17783706.236144584</v>
      </c>
      <c r="E52" s="54">
        <v>555044.66445330705</v>
      </c>
      <c r="F52" s="54">
        <v>18338750.900597889</v>
      </c>
      <c r="G52" s="126">
        <v>632.80000000000007</v>
      </c>
      <c r="H52" s="126">
        <v>0</v>
      </c>
      <c r="I52" s="30">
        <v>28</v>
      </c>
      <c r="J52" s="30">
        <v>287</v>
      </c>
      <c r="K52" s="74">
        <v>3035.1</v>
      </c>
      <c r="L52" s="127">
        <v>0</v>
      </c>
      <c r="M52" s="30">
        <f t="shared" si="5"/>
        <v>18349491.319058973</v>
      </c>
      <c r="N52" s="30">
        <f t="shared" si="7"/>
        <v>17794446.654605668</v>
      </c>
      <c r="O52" s="49">
        <f t="shared" si="8"/>
        <v>10740.418461084366</v>
      </c>
      <c r="P52" s="48">
        <f t="shared" si="9"/>
        <v>5.856679399431834E-4</v>
      </c>
      <c r="AA52" s="2"/>
      <c r="AB52" s="5"/>
      <c r="AC52" s="5"/>
      <c r="AF52" s="2"/>
      <c r="AJ52" s="2"/>
      <c r="AK52" s="72"/>
      <c r="AM52" s="5"/>
      <c r="AN52" s="2"/>
      <c r="AO52" s="72"/>
      <c r="AP52" s="5"/>
      <c r="AQ52" s="5"/>
      <c r="AR52" s="28"/>
      <c r="AS52" s="28"/>
      <c r="AT52" s="28"/>
    </row>
    <row r="53" spans="1:46" x14ac:dyDescent="0.2">
      <c r="A53" s="2">
        <v>42064</v>
      </c>
      <c r="B53">
        <f t="shared" si="3"/>
        <v>2015</v>
      </c>
      <c r="C53">
        <f t="shared" si="6"/>
        <v>3</v>
      </c>
      <c r="D53" s="54">
        <v>18252320.722891562</v>
      </c>
      <c r="E53" s="54">
        <v>555044.66445330705</v>
      </c>
      <c r="F53" s="54">
        <v>18807365.387344867</v>
      </c>
      <c r="G53" s="126">
        <v>367.49999999999994</v>
      </c>
      <c r="H53" s="126">
        <v>0</v>
      </c>
      <c r="I53" s="30">
        <v>31</v>
      </c>
      <c r="J53" s="30">
        <v>288</v>
      </c>
      <c r="K53" s="74">
        <v>3054.2</v>
      </c>
      <c r="L53" s="127">
        <v>0</v>
      </c>
      <c r="M53" s="30">
        <f t="shared" si="5"/>
        <v>18135732.893504325</v>
      </c>
      <c r="N53" s="30">
        <f t="shared" si="7"/>
        <v>17580688.22905102</v>
      </c>
      <c r="O53" s="49">
        <f t="shared" si="8"/>
        <v>-671632.49384054169</v>
      </c>
      <c r="P53" s="48">
        <f t="shared" si="9"/>
        <v>3.5711141885533364E-2</v>
      </c>
      <c r="AA53" s="2"/>
      <c r="AB53" s="5"/>
      <c r="AC53" s="5"/>
      <c r="AF53" s="2"/>
      <c r="AJ53" s="2"/>
      <c r="AK53" s="72"/>
      <c r="AM53" s="5"/>
      <c r="AN53" s="2"/>
      <c r="AO53" s="72"/>
      <c r="AP53" s="5"/>
      <c r="AQ53" s="5"/>
      <c r="AR53" s="28"/>
      <c r="AS53" s="28"/>
      <c r="AT53" s="28"/>
    </row>
    <row r="54" spans="1:46" x14ac:dyDescent="0.2">
      <c r="A54" s="2">
        <v>42095</v>
      </c>
      <c r="B54">
        <f t="shared" si="3"/>
        <v>2015</v>
      </c>
      <c r="C54">
        <f t="shared" si="6"/>
        <v>4</v>
      </c>
      <c r="D54" s="54">
        <v>16479411.932530126</v>
      </c>
      <c r="E54" s="54">
        <v>555044.66445330705</v>
      </c>
      <c r="F54" s="54">
        <v>17034456.596983433</v>
      </c>
      <c r="G54" s="126">
        <v>94.399999999999991</v>
      </c>
      <c r="H54" s="126">
        <v>7.1999999999999993</v>
      </c>
      <c r="I54" s="30">
        <v>30</v>
      </c>
      <c r="J54" s="30">
        <v>290</v>
      </c>
      <c r="K54" s="74">
        <v>3066.7</v>
      </c>
      <c r="L54" s="127">
        <v>0</v>
      </c>
      <c r="M54" s="30">
        <f t="shared" si="5"/>
        <v>16510037.165930968</v>
      </c>
      <c r="N54" s="30">
        <f t="shared" si="7"/>
        <v>15954992.501477661</v>
      </c>
      <c r="O54" s="49">
        <f t="shared" si="8"/>
        <v>-524419.43105246499</v>
      </c>
      <c r="P54" s="48">
        <f t="shared" si="9"/>
        <v>3.078580335490904E-2</v>
      </c>
      <c r="AA54" s="2"/>
      <c r="AB54" s="5"/>
      <c r="AC54" s="5"/>
      <c r="AF54" s="2"/>
      <c r="AJ54" s="2"/>
      <c r="AK54" s="72"/>
      <c r="AM54" s="5"/>
      <c r="AN54" s="2"/>
      <c r="AO54" s="72"/>
      <c r="AP54" s="5"/>
      <c r="AQ54" s="5"/>
      <c r="AR54" s="28"/>
      <c r="AS54" s="28"/>
      <c r="AT54" s="28"/>
    </row>
    <row r="55" spans="1:46" x14ac:dyDescent="0.2">
      <c r="A55" s="2">
        <v>42125</v>
      </c>
      <c r="B55">
        <f t="shared" si="3"/>
        <v>2015</v>
      </c>
      <c r="C55">
        <f t="shared" si="6"/>
        <v>5</v>
      </c>
      <c r="D55" s="54">
        <v>16982291.479518067</v>
      </c>
      <c r="E55" s="54">
        <v>555044.66445330705</v>
      </c>
      <c r="F55" s="54">
        <v>17537336.143971372</v>
      </c>
      <c r="G55" s="126">
        <v>1.5</v>
      </c>
      <c r="H55" s="126">
        <v>142.1</v>
      </c>
      <c r="I55" s="30">
        <v>31</v>
      </c>
      <c r="J55" s="30">
        <v>291</v>
      </c>
      <c r="K55" s="74">
        <v>3084</v>
      </c>
      <c r="L55" s="127">
        <v>0</v>
      </c>
      <c r="M55" s="30">
        <f t="shared" si="5"/>
        <v>17371566.465707175</v>
      </c>
      <c r="N55" s="30">
        <f t="shared" si="7"/>
        <v>16816521.80125387</v>
      </c>
      <c r="O55" s="49">
        <f t="shared" si="8"/>
        <v>-165769.67826419696</v>
      </c>
      <c r="P55" s="48">
        <f t="shared" si="9"/>
        <v>9.4523864344803511E-3</v>
      </c>
      <c r="AA55" s="2"/>
      <c r="AB55" s="5"/>
      <c r="AC55" s="5"/>
      <c r="AF55" s="2"/>
      <c r="AJ55" s="2"/>
      <c r="AK55" s="72"/>
      <c r="AM55" s="5"/>
      <c r="AN55" s="2"/>
      <c r="AO55" s="72"/>
      <c r="AP55" s="5"/>
      <c r="AQ55" s="5"/>
      <c r="AR55" s="28"/>
      <c r="AS55" s="28"/>
      <c r="AT55" s="28"/>
    </row>
    <row r="56" spans="1:46" x14ac:dyDescent="0.2">
      <c r="A56" s="2">
        <v>42156</v>
      </c>
      <c r="B56">
        <f t="shared" si="3"/>
        <v>2015</v>
      </c>
      <c r="C56">
        <f t="shared" si="6"/>
        <v>6</v>
      </c>
      <c r="D56" s="54">
        <v>16646153.06024096</v>
      </c>
      <c r="E56" s="54">
        <v>555044.66445330705</v>
      </c>
      <c r="F56" s="54">
        <v>17201197.724694267</v>
      </c>
      <c r="G56" s="126">
        <v>0</v>
      </c>
      <c r="H56" s="126">
        <v>178.69999999999996</v>
      </c>
      <c r="I56" s="30">
        <v>30</v>
      </c>
      <c r="J56" s="30">
        <v>291</v>
      </c>
      <c r="K56" s="74">
        <v>3102.9</v>
      </c>
      <c r="L56" s="127">
        <v>0</v>
      </c>
      <c r="M56" s="30">
        <f t="shared" si="5"/>
        <v>17332355.508922931</v>
      </c>
      <c r="N56" s="30">
        <f t="shared" si="7"/>
        <v>16777310.844469626</v>
      </c>
      <c r="O56" s="49">
        <f t="shared" si="8"/>
        <v>131157.78422866389</v>
      </c>
      <c r="P56" s="48">
        <f t="shared" si="9"/>
        <v>7.6249216088233231E-3</v>
      </c>
      <c r="AA56" s="2"/>
      <c r="AB56" s="5"/>
      <c r="AC56" s="5"/>
      <c r="AF56" s="2"/>
      <c r="AJ56" s="2"/>
      <c r="AK56" s="72"/>
      <c r="AM56" s="5"/>
      <c r="AN56" s="2"/>
      <c r="AO56" s="72"/>
      <c r="AP56" s="5"/>
      <c r="AQ56" s="5"/>
      <c r="AR56" s="28"/>
      <c r="AS56" s="28"/>
      <c r="AT56" s="28"/>
    </row>
    <row r="57" spans="1:46" x14ac:dyDescent="0.2">
      <c r="A57" s="2">
        <v>42186</v>
      </c>
      <c r="B57">
        <f t="shared" si="3"/>
        <v>2015</v>
      </c>
      <c r="C57">
        <f t="shared" si="6"/>
        <v>7</v>
      </c>
      <c r="D57" s="54">
        <v>17538166.997590359</v>
      </c>
      <c r="E57" s="54">
        <v>555044.66445330705</v>
      </c>
      <c r="F57" s="54">
        <v>18093211.662043665</v>
      </c>
      <c r="G57" s="126">
        <v>0</v>
      </c>
      <c r="H57" s="126">
        <v>296.3</v>
      </c>
      <c r="I57" s="30">
        <v>31</v>
      </c>
      <c r="J57" s="30">
        <v>292</v>
      </c>
      <c r="K57" s="74">
        <v>3132</v>
      </c>
      <c r="L57" s="127">
        <v>0</v>
      </c>
      <c r="M57" s="30">
        <f t="shared" si="5"/>
        <v>18611921.426621437</v>
      </c>
      <c r="N57" s="30">
        <f t="shared" si="7"/>
        <v>18056876.762168132</v>
      </c>
      <c r="O57" s="49">
        <f t="shared" si="8"/>
        <v>518709.76457777247</v>
      </c>
      <c r="P57" s="48">
        <f t="shared" si="9"/>
        <v>2.866875015152413E-2</v>
      </c>
      <c r="AA57" s="2"/>
      <c r="AB57" s="5"/>
      <c r="AC57" s="5"/>
      <c r="AF57" s="2"/>
      <c r="AJ57" s="2"/>
      <c r="AK57" s="72"/>
      <c r="AM57" s="5"/>
      <c r="AN57" s="2"/>
      <c r="AO57" s="72"/>
      <c r="AP57" s="5"/>
      <c r="AQ57" s="5"/>
      <c r="AR57" s="28"/>
      <c r="AS57" s="28"/>
      <c r="AT57" s="28"/>
    </row>
    <row r="58" spans="1:46" x14ac:dyDescent="0.2">
      <c r="A58" s="2">
        <v>42217</v>
      </c>
      <c r="B58">
        <f t="shared" si="3"/>
        <v>2015</v>
      </c>
      <c r="C58">
        <f t="shared" si="6"/>
        <v>8</v>
      </c>
      <c r="D58" s="54">
        <v>17093829.031325299</v>
      </c>
      <c r="E58" s="54">
        <v>555044.66445330705</v>
      </c>
      <c r="F58" s="54">
        <v>17648873.695778605</v>
      </c>
      <c r="G58" s="126">
        <v>0</v>
      </c>
      <c r="H58" s="126">
        <v>270.19999999999993</v>
      </c>
      <c r="I58" s="30">
        <v>31</v>
      </c>
      <c r="J58" s="30">
        <v>292</v>
      </c>
      <c r="K58" s="74">
        <v>3151.5</v>
      </c>
      <c r="L58" s="127">
        <v>0</v>
      </c>
      <c r="M58" s="30">
        <f t="shared" si="5"/>
        <v>18521181.8006262</v>
      </c>
      <c r="N58" s="30">
        <f t="shared" si="7"/>
        <v>17966137.136172894</v>
      </c>
      <c r="O58" s="49">
        <f t="shared" si="8"/>
        <v>872308.1048475951</v>
      </c>
      <c r="P58" s="48">
        <f t="shared" si="9"/>
        <v>4.942570953160827E-2</v>
      </c>
      <c r="AA58" s="2"/>
      <c r="AB58" s="5"/>
      <c r="AC58" s="5"/>
      <c r="AF58" s="2"/>
      <c r="AJ58" s="2"/>
      <c r="AK58" s="72"/>
      <c r="AM58" s="5"/>
      <c r="AN58" s="2"/>
      <c r="AO58" s="72"/>
      <c r="AP58" s="5"/>
      <c r="AQ58" s="5"/>
      <c r="AR58" s="28"/>
      <c r="AS58" s="28"/>
      <c r="AT58" s="28"/>
    </row>
    <row r="59" spans="1:46" x14ac:dyDescent="0.2">
      <c r="A59" s="2">
        <v>42248</v>
      </c>
      <c r="B59">
        <f t="shared" si="3"/>
        <v>2015</v>
      </c>
      <c r="C59">
        <f t="shared" si="6"/>
        <v>9</v>
      </c>
      <c r="D59" s="54">
        <v>17292395.55662651</v>
      </c>
      <c r="E59" s="54">
        <v>555044.66445330705</v>
      </c>
      <c r="F59" s="54">
        <v>17847440.221079815</v>
      </c>
      <c r="G59" s="126">
        <v>0</v>
      </c>
      <c r="H59" s="126">
        <v>230.8</v>
      </c>
      <c r="I59" s="30">
        <v>30</v>
      </c>
      <c r="J59" s="30">
        <v>292</v>
      </c>
      <c r="K59" s="74">
        <v>3155.1</v>
      </c>
      <c r="L59" s="127">
        <v>0</v>
      </c>
      <c r="M59" s="30">
        <f t="shared" si="5"/>
        <v>17921494.763033397</v>
      </c>
      <c r="N59" s="30">
        <f t="shared" si="7"/>
        <v>17366450.098580092</v>
      </c>
      <c r="O59" s="49">
        <f t="shared" si="8"/>
        <v>74054.541953582317</v>
      </c>
      <c r="P59" s="48">
        <f t="shared" si="9"/>
        <v>4.1493088664959167E-3</v>
      </c>
      <c r="AA59" s="2"/>
      <c r="AB59" s="5"/>
      <c r="AC59" s="5"/>
      <c r="AF59" s="2"/>
      <c r="AJ59" s="2"/>
      <c r="AK59" s="72"/>
      <c r="AM59" s="5"/>
      <c r="AN59" s="2"/>
      <c r="AO59" s="72"/>
      <c r="AP59" s="5"/>
      <c r="AQ59" s="5"/>
      <c r="AR59" s="28"/>
      <c r="AS59" s="28"/>
      <c r="AT59" s="28"/>
    </row>
    <row r="60" spans="1:46" x14ac:dyDescent="0.2">
      <c r="A60" s="2">
        <v>42278</v>
      </c>
      <c r="B60">
        <f t="shared" si="3"/>
        <v>2015</v>
      </c>
      <c r="C60">
        <f t="shared" si="6"/>
        <v>10</v>
      </c>
      <c r="D60" s="54">
        <v>16272895.431325302</v>
      </c>
      <c r="E60" s="54">
        <v>555044.66445330705</v>
      </c>
      <c r="F60" s="54">
        <v>16827940.095778607</v>
      </c>
      <c r="G60" s="126">
        <v>48.199999999999989</v>
      </c>
      <c r="H60" s="126">
        <v>21.3</v>
      </c>
      <c r="I60" s="30">
        <v>31</v>
      </c>
      <c r="J60" s="30">
        <v>292</v>
      </c>
      <c r="K60" s="74">
        <v>3149.2</v>
      </c>
      <c r="L60" s="127">
        <v>0</v>
      </c>
      <c r="M60" s="30">
        <f t="shared" si="5"/>
        <v>17112306.283602193</v>
      </c>
      <c r="N60" s="30">
        <f t="shared" si="7"/>
        <v>16557261.619148886</v>
      </c>
      <c r="O60" s="49">
        <f t="shared" si="8"/>
        <v>284366.18782358617</v>
      </c>
      <c r="P60" s="48">
        <f t="shared" si="9"/>
        <v>1.6898454962703438E-2</v>
      </c>
      <c r="AA60" s="2"/>
      <c r="AB60" s="5"/>
      <c r="AC60" s="5"/>
      <c r="AF60" s="2"/>
      <c r="AJ60" s="2"/>
      <c r="AK60" s="72"/>
      <c r="AM60" s="5"/>
      <c r="AN60" s="2"/>
      <c r="AO60" s="72"/>
      <c r="AP60" s="5"/>
      <c r="AQ60" s="5"/>
      <c r="AR60" s="28"/>
      <c r="AS60" s="28"/>
      <c r="AT60" s="28"/>
    </row>
    <row r="61" spans="1:46" x14ac:dyDescent="0.2">
      <c r="A61" s="2">
        <v>42309</v>
      </c>
      <c r="B61">
        <f t="shared" si="3"/>
        <v>2015</v>
      </c>
      <c r="C61">
        <f t="shared" si="6"/>
        <v>11</v>
      </c>
      <c r="D61" s="54">
        <v>16129527.980722889</v>
      </c>
      <c r="E61" s="54">
        <v>555044.66445330705</v>
      </c>
      <c r="F61" s="54">
        <v>16684572.645176196</v>
      </c>
      <c r="G61" s="126">
        <v>121.9</v>
      </c>
      <c r="H61" s="126">
        <v>7.3999999999999986</v>
      </c>
      <c r="I61" s="30">
        <v>30</v>
      </c>
      <c r="J61" s="30">
        <v>293</v>
      </c>
      <c r="K61" s="74">
        <v>3140.6</v>
      </c>
      <c r="L61" s="127">
        <v>0</v>
      </c>
      <c r="M61" s="30">
        <f t="shared" si="5"/>
        <v>17036922.062338933</v>
      </c>
      <c r="N61" s="30">
        <f t="shared" si="7"/>
        <v>16481877.397885626</v>
      </c>
      <c r="O61" s="49">
        <f t="shared" si="8"/>
        <v>352349.41716273688</v>
      </c>
      <c r="P61" s="48">
        <f t="shared" si="9"/>
        <v>2.1118276425534176E-2</v>
      </c>
      <c r="AA61" s="2"/>
      <c r="AB61" s="5"/>
      <c r="AC61" s="5"/>
      <c r="AM61" s="5"/>
      <c r="AN61" s="5"/>
      <c r="AO61" s="5"/>
      <c r="AP61" s="5"/>
      <c r="AR61" s="28"/>
      <c r="AS61" s="28"/>
      <c r="AT61" s="28"/>
    </row>
    <row r="62" spans="1:46" x14ac:dyDescent="0.2">
      <c r="A62" s="2">
        <v>42339</v>
      </c>
      <c r="B62">
        <f t="shared" si="3"/>
        <v>2015</v>
      </c>
      <c r="C62">
        <f t="shared" si="6"/>
        <v>12</v>
      </c>
      <c r="D62" s="54">
        <v>16103160.144578312</v>
      </c>
      <c r="E62" s="54">
        <v>555044.66445330705</v>
      </c>
      <c r="F62" s="54">
        <v>16658204.809031619</v>
      </c>
      <c r="G62" s="126">
        <v>182</v>
      </c>
      <c r="H62" s="126">
        <v>0</v>
      </c>
      <c r="I62" s="30">
        <v>31</v>
      </c>
      <c r="J62" s="30">
        <v>293</v>
      </c>
      <c r="K62" s="74">
        <v>3147.5</v>
      </c>
      <c r="L62" s="127">
        <v>0</v>
      </c>
      <c r="M62" s="30">
        <f t="shared" si="5"/>
        <v>17683126.465210177</v>
      </c>
      <c r="N62" s="30">
        <f t="shared" si="7"/>
        <v>17128081.800756872</v>
      </c>
      <c r="O62" s="49">
        <f t="shared" si="8"/>
        <v>1024921.6561785582</v>
      </c>
      <c r="P62" s="48">
        <f t="shared" si="9"/>
        <v>6.1526537098575834E-2</v>
      </c>
    </row>
    <row r="63" spans="1:46" x14ac:dyDescent="0.2">
      <c r="A63" s="2">
        <v>42370</v>
      </c>
      <c r="B63">
        <f t="shared" si="3"/>
        <v>2016</v>
      </c>
      <c r="C63">
        <f t="shared" si="6"/>
        <v>1</v>
      </c>
      <c r="D63" s="54">
        <v>17735240.327710841</v>
      </c>
      <c r="E63" s="54">
        <v>657746.90431909065</v>
      </c>
      <c r="F63" s="54">
        <v>18392987.23202993</v>
      </c>
      <c r="G63" s="126">
        <v>422.40000000000009</v>
      </c>
      <c r="H63" s="126">
        <v>0</v>
      </c>
      <c r="I63" s="30">
        <v>31</v>
      </c>
      <c r="J63" s="30">
        <v>292</v>
      </c>
      <c r="K63" s="74">
        <v>3154.2</v>
      </c>
      <c r="L63" s="127">
        <v>0</v>
      </c>
      <c r="M63" s="30">
        <f t="shared" si="5"/>
        <v>18937448.844841957</v>
      </c>
      <c r="N63" s="30">
        <f t="shared" si="7"/>
        <v>18279701.940522868</v>
      </c>
      <c r="O63" s="49">
        <f t="shared" si="8"/>
        <v>544461.61281202734</v>
      </c>
      <c r="P63" s="48">
        <f t="shared" si="9"/>
        <v>2.9601587058348554E-2</v>
      </c>
    </row>
    <row r="64" spans="1:46" x14ac:dyDescent="0.2">
      <c r="A64" s="2">
        <v>42401</v>
      </c>
      <c r="B64">
        <f t="shared" si="3"/>
        <v>2016</v>
      </c>
      <c r="C64">
        <f t="shared" si="6"/>
        <v>2</v>
      </c>
      <c r="D64" s="54">
        <v>16845185.012048196</v>
      </c>
      <c r="E64" s="54">
        <v>657746.90431909065</v>
      </c>
      <c r="F64" s="54">
        <v>17502931.916367285</v>
      </c>
      <c r="G64" s="126">
        <v>356.40000000000003</v>
      </c>
      <c r="H64" s="126">
        <v>0</v>
      </c>
      <c r="I64" s="30">
        <v>29</v>
      </c>
      <c r="J64" s="30">
        <v>290</v>
      </c>
      <c r="K64" s="74">
        <v>3149.3</v>
      </c>
      <c r="L64" s="127">
        <v>0</v>
      </c>
      <c r="M64" s="30">
        <f t="shared" si="5"/>
        <v>17818982.089255664</v>
      </c>
      <c r="N64" s="30">
        <f t="shared" si="7"/>
        <v>17161235.184936576</v>
      </c>
      <c r="O64" s="49">
        <f t="shared" si="8"/>
        <v>316050.17288837954</v>
      </c>
      <c r="P64" s="48">
        <f t="shared" si="9"/>
        <v>1.8056984646831409E-2</v>
      </c>
    </row>
    <row r="65" spans="1:16" x14ac:dyDescent="0.2">
      <c r="A65" s="2">
        <v>42430</v>
      </c>
      <c r="B65">
        <f t="shared" si="3"/>
        <v>2016</v>
      </c>
      <c r="C65">
        <f t="shared" si="6"/>
        <v>3</v>
      </c>
      <c r="D65" s="54">
        <v>16957889.127710842</v>
      </c>
      <c r="E65" s="54">
        <v>657746.90431909065</v>
      </c>
      <c r="F65" s="54">
        <v>17615636.032029931</v>
      </c>
      <c r="G65" s="126">
        <v>232.90000000000003</v>
      </c>
      <c r="H65" s="126">
        <v>0.80000000000000071</v>
      </c>
      <c r="I65" s="30">
        <v>31</v>
      </c>
      <c r="J65" s="30">
        <v>293</v>
      </c>
      <c r="K65" s="74">
        <v>3140</v>
      </c>
      <c r="L65" s="127">
        <v>0</v>
      </c>
      <c r="M65" s="30">
        <f t="shared" si="5"/>
        <v>17921389.917379387</v>
      </c>
      <c r="N65" s="30">
        <f t="shared" si="7"/>
        <v>17263643.013060298</v>
      </c>
      <c r="O65" s="49">
        <f t="shared" si="8"/>
        <v>305753.88534945622</v>
      </c>
      <c r="P65" s="48">
        <f t="shared" si="9"/>
        <v>1.735695973699241E-2</v>
      </c>
    </row>
    <row r="66" spans="1:16" x14ac:dyDescent="0.2">
      <c r="A66" s="2">
        <v>42461</v>
      </c>
      <c r="B66">
        <f t="shared" si="3"/>
        <v>2016</v>
      </c>
      <c r="C66">
        <f t="shared" si="6"/>
        <v>4</v>
      </c>
      <c r="D66" s="54">
        <v>16234178.226506023</v>
      </c>
      <c r="E66" s="54">
        <v>657746.90431909065</v>
      </c>
      <c r="F66" s="54">
        <v>16891925.130825114</v>
      </c>
      <c r="G66" s="126">
        <v>167.70000000000005</v>
      </c>
      <c r="H66" s="126">
        <v>4.9000000000000004</v>
      </c>
      <c r="I66" s="30">
        <v>30</v>
      </c>
      <c r="J66" s="30">
        <v>293</v>
      </c>
      <c r="K66" s="74">
        <v>3137.9</v>
      </c>
      <c r="L66" s="127">
        <v>0</v>
      </c>
      <c r="M66" s="30">
        <f t="shared" si="5"/>
        <v>17247048.192130648</v>
      </c>
      <c r="N66" s="30">
        <f t="shared" si="7"/>
        <v>16589301.287811557</v>
      </c>
      <c r="O66" s="49">
        <f t="shared" si="8"/>
        <v>355123.06130553409</v>
      </c>
      <c r="P66" s="48">
        <f t="shared" si="9"/>
        <v>2.1023243860907849E-2</v>
      </c>
    </row>
    <row r="67" spans="1:16" x14ac:dyDescent="0.2">
      <c r="A67" s="2">
        <v>42491</v>
      </c>
      <c r="B67">
        <f t="shared" si="3"/>
        <v>2016</v>
      </c>
      <c r="C67">
        <f t="shared" si="6"/>
        <v>5</v>
      </c>
      <c r="D67" s="54">
        <v>15945008.597590361</v>
      </c>
      <c r="E67" s="54">
        <v>657746.90431909065</v>
      </c>
      <c r="F67" s="54">
        <v>16602755.501909452</v>
      </c>
      <c r="G67" s="126">
        <v>12.600000000000001</v>
      </c>
      <c r="H67" s="126">
        <v>116.69999999999999</v>
      </c>
      <c r="I67" s="30">
        <v>31</v>
      </c>
      <c r="J67" s="30">
        <v>295</v>
      </c>
      <c r="K67" s="74">
        <v>3144.8</v>
      </c>
      <c r="L67" s="127">
        <v>0</v>
      </c>
      <c r="M67" s="30">
        <f t="shared" si="5"/>
        <v>17611888.462978557</v>
      </c>
      <c r="N67" s="30">
        <f t="shared" ref="N67:N98" si="10">M67-E67</f>
        <v>16954141.558659468</v>
      </c>
      <c r="O67" s="49">
        <f t="shared" ref="O67:O98" si="11">+M67-F67</f>
        <v>1009132.9610691052</v>
      </c>
      <c r="P67" s="48">
        <f t="shared" ref="P67:P98" si="12">ABS(O67/F67)</f>
        <v>6.0781052937450453E-2</v>
      </c>
    </row>
    <row r="68" spans="1:16" x14ac:dyDescent="0.2">
      <c r="A68" s="2">
        <v>42522</v>
      </c>
      <c r="B68">
        <f t="shared" ref="B68:B127" si="13">YEAR(A68)</f>
        <v>2016</v>
      </c>
      <c r="C68">
        <f t="shared" si="6"/>
        <v>6</v>
      </c>
      <c r="D68" s="54">
        <v>16837420.39518071</v>
      </c>
      <c r="E68" s="54">
        <v>657746.90431909065</v>
      </c>
      <c r="F68" s="54">
        <v>17495167.299499799</v>
      </c>
      <c r="G68" s="126">
        <v>0</v>
      </c>
      <c r="H68" s="126">
        <v>240.59999999999997</v>
      </c>
      <c r="I68" s="30">
        <v>30</v>
      </c>
      <c r="J68" s="30">
        <v>299</v>
      </c>
      <c r="K68" s="74">
        <v>3155.8</v>
      </c>
      <c r="L68" s="127">
        <v>0</v>
      </c>
      <c r="M68" s="30">
        <f t="shared" ref="M68:M127" si="14">$R$19+G68*$R$20+H68*$R$21+I68*$R$22+J68*$R$23+K68*$R$24+L68*$R$25</f>
        <v>18154796.225366957</v>
      </c>
      <c r="N68" s="30">
        <f t="shared" si="10"/>
        <v>17497049.321047869</v>
      </c>
      <c r="O68" s="49">
        <f t="shared" si="11"/>
        <v>659628.92586715892</v>
      </c>
      <c r="P68" s="48">
        <f t="shared" si="12"/>
        <v>3.7703493460506561E-2</v>
      </c>
    </row>
    <row r="69" spans="1:16" x14ac:dyDescent="0.2">
      <c r="A69" s="2">
        <v>42552</v>
      </c>
      <c r="B69">
        <f t="shared" si="13"/>
        <v>2016</v>
      </c>
      <c r="C69">
        <f t="shared" si="6"/>
        <v>7</v>
      </c>
      <c r="D69" s="54">
        <v>17715629.291566268</v>
      </c>
      <c r="E69" s="54">
        <v>657746.90431909065</v>
      </c>
      <c r="F69" s="54">
        <v>18373376.195885357</v>
      </c>
      <c r="G69" s="126">
        <v>0</v>
      </c>
      <c r="H69" s="126">
        <v>362.9</v>
      </c>
      <c r="I69" s="30">
        <v>31</v>
      </c>
      <c r="J69" s="30">
        <v>300</v>
      </c>
      <c r="K69" s="74">
        <v>3152.3</v>
      </c>
      <c r="L69" s="127">
        <v>0</v>
      </c>
      <c r="M69" s="30">
        <f t="shared" si="14"/>
        <v>19328002.57596983</v>
      </c>
      <c r="N69" s="30">
        <f t="shared" si="10"/>
        <v>18670255.671650741</v>
      </c>
      <c r="O69" s="49">
        <f t="shared" si="11"/>
        <v>954626.38008447364</v>
      </c>
      <c r="P69" s="48">
        <f t="shared" si="12"/>
        <v>5.1957047518477219E-2</v>
      </c>
    </row>
    <row r="70" spans="1:16" x14ac:dyDescent="0.2">
      <c r="A70" s="2">
        <v>42583</v>
      </c>
      <c r="B70">
        <f t="shared" si="13"/>
        <v>2016</v>
      </c>
      <c r="C70">
        <f t="shared" si="6"/>
        <v>8</v>
      </c>
      <c r="D70" s="54">
        <v>18536229.59036145</v>
      </c>
      <c r="E70" s="54">
        <v>657746.90431909065</v>
      </c>
      <c r="F70" s="54">
        <v>19193976.494680539</v>
      </c>
      <c r="G70" s="126">
        <v>0</v>
      </c>
      <c r="H70" s="126">
        <v>381.40000000000009</v>
      </c>
      <c r="I70" s="30">
        <v>31</v>
      </c>
      <c r="J70" s="30">
        <v>301</v>
      </c>
      <c r="K70" s="74">
        <v>3149.1</v>
      </c>
      <c r="L70" s="127">
        <v>0</v>
      </c>
      <c r="M70" s="30">
        <f t="shared" si="14"/>
        <v>19460752.054716296</v>
      </c>
      <c r="N70" s="30">
        <f t="shared" si="10"/>
        <v>18803005.150397208</v>
      </c>
      <c r="O70" s="49">
        <f t="shared" si="11"/>
        <v>266775.56003575772</v>
      </c>
      <c r="P70" s="48">
        <f t="shared" si="12"/>
        <v>1.3898920846844451E-2</v>
      </c>
    </row>
    <row r="71" spans="1:16" x14ac:dyDescent="0.2">
      <c r="A71" s="2">
        <v>42614</v>
      </c>
      <c r="B71">
        <f t="shared" si="13"/>
        <v>2016</v>
      </c>
      <c r="C71">
        <f t="shared" si="6"/>
        <v>9</v>
      </c>
      <c r="D71" s="54">
        <v>17232312.954216857</v>
      </c>
      <c r="E71" s="54">
        <v>657746.90431909065</v>
      </c>
      <c r="F71" s="54">
        <v>17890059.858535945</v>
      </c>
      <c r="G71" s="126">
        <v>0</v>
      </c>
      <c r="H71" s="126">
        <v>223.5</v>
      </c>
      <c r="I71" s="30">
        <v>30</v>
      </c>
      <c r="J71" s="30">
        <v>300</v>
      </c>
      <c r="K71" s="74">
        <v>3140.2</v>
      </c>
      <c r="L71" s="127">
        <v>0</v>
      </c>
      <c r="M71" s="30">
        <f t="shared" si="14"/>
        <v>17999280.128685474</v>
      </c>
      <c r="N71" s="30">
        <f t="shared" si="10"/>
        <v>17341533.224366385</v>
      </c>
      <c r="O71" s="49">
        <f t="shared" si="11"/>
        <v>109220.27014952898</v>
      </c>
      <c r="P71" s="48">
        <f t="shared" si="12"/>
        <v>6.1050813140469361E-3</v>
      </c>
    </row>
    <row r="72" spans="1:16" x14ac:dyDescent="0.2">
      <c r="A72" s="2">
        <v>42644</v>
      </c>
      <c r="B72">
        <f t="shared" si="13"/>
        <v>2016</v>
      </c>
      <c r="C72">
        <f t="shared" si="6"/>
        <v>10</v>
      </c>
      <c r="D72" s="54">
        <v>16281343.142168675</v>
      </c>
      <c r="E72" s="54">
        <v>657746.90431909065</v>
      </c>
      <c r="F72" s="54">
        <v>16939090.046487764</v>
      </c>
      <c r="G72" s="126">
        <v>45.400000000000006</v>
      </c>
      <c r="H72" s="126">
        <v>69.3</v>
      </c>
      <c r="I72" s="30">
        <v>31</v>
      </c>
      <c r="J72" s="30">
        <v>302</v>
      </c>
      <c r="K72" s="74">
        <v>3134.2</v>
      </c>
      <c r="L72" s="127">
        <v>0</v>
      </c>
      <c r="M72" s="30">
        <f t="shared" si="14"/>
        <v>17588903.82278125</v>
      </c>
      <c r="N72" s="30">
        <f t="shared" si="10"/>
        <v>16931156.918462161</v>
      </c>
      <c r="O72" s="49">
        <f t="shared" si="11"/>
        <v>649813.77629348636</v>
      </c>
      <c r="P72" s="48">
        <f t="shared" si="12"/>
        <v>3.8361787705840908E-2</v>
      </c>
    </row>
    <row r="73" spans="1:16" x14ac:dyDescent="0.2">
      <c r="A73" s="2">
        <v>42675</v>
      </c>
      <c r="B73">
        <f t="shared" si="13"/>
        <v>2016</v>
      </c>
      <c r="C73">
        <f t="shared" si="6"/>
        <v>11</v>
      </c>
      <c r="D73" s="54">
        <v>16390339.113253012</v>
      </c>
      <c r="E73" s="54">
        <v>657746.90431909065</v>
      </c>
      <c r="F73" s="54">
        <v>17048086.017572101</v>
      </c>
      <c r="G73" s="126">
        <v>108.59999999999997</v>
      </c>
      <c r="H73" s="126">
        <v>3.0999999999999996</v>
      </c>
      <c r="I73" s="30">
        <v>30</v>
      </c>
      <c r="J73" s="30">
        <v>303</v>
      </c>
      <c r="K73" s="74">
        <v>3130.5</v>
      </c>
      <c r="L73" s="127">
        <v>0</v>
      </c>
      <c r="M73" s="30">
        <f t="shared" si="14"/>
        <v>17132955.760313742</v>
      </c>
      <c r="N73" s="30">
        <f t="shared" si="10"/>
        <v>16475208.855994651</v>
      </c>
      <c r="O73" s="49">
        <f t="shared" si="11"/>
        <v>84869.742741640657</v>
      </c>
      <c r="P73" s="48">
        <f t="shared" si="12"/>
        <v>4.9782563657974413E-3</v>
      </c>
    </row>
    <row r="74" spans="1:16" x14ac:dyDescent="0.2">
      <c r="A74" s="2">
        <v>42705</v>
      </c>
      <c r="B74">
        <f t="shared" si="13"/>
        <v>2016</v>
      </c>
      <c r="C74">
        <f t="shared" si="6"/>
        <v>12</v>
      </c>
      <c r="D74" s="54">
        <v>18004813.812048193</v>
      </c>
      <c r="E74" s="54">
        <v>657746.90431909065</v>
      </c>
      <c r="F74" s="54">
        <v>18662560.716367282</v>
      </c>
      <c r="G74" s="126">
        <v>359.99999999999994</v>
      </c>
      <c r="H74" s="126">
        <v>0</v>
      </c>
      <c r="I74" s="30">
        <v>31</v>
      </c>
      <c r="J74" s="30">
        <v>304</v>
      </c>
      <c r="K74" s="74">
        <v>3127.9</v>
      </c>
      <c r="L74" s="127">
        <v>0</v>
      </c>
      <c r="M74" s="30">
        <f t="shared" si="14"/>
        <v>18785664.597605981</v>
      </c>
      <c r="N74" s="30">
        <f t="shared" si="10"/>
        <v>18127917.693286892</v>
      </c>
      <c r="O74" s="49">
        <f t="shared" si="11"/>
        <v>123103.88123869896</v>
      </c>
      <c r="P74" s="48">
        <f t="shared" si="12"/>
        <v>6.5963017138765652E-3</v>
      </c>
    </row>
    <row r="75" spans="1:16" x14ac:dyDescent="0.2">
      <c r="A75" s="2">
        <v>42736</v>
      </c>
      <c r="B75">
        <f t="shared" si="13"/>
        <v>2017</v>
      </c>
      <c r="C75">
        <f t="shared" si="6"/>
        <v>1</v>
      </c>
      <c r="D75" s="54">
        <v>18633488.665060241</v>
      </c>
      <c r="E75" s="54">
        <v>1025745.4165349469</v>
      </c>
      <c r="F75" s="54">
        <v>19659234.081595186</v>
      </c>
      <c r="G75" s="126">
        <v>360.90000000000003</v>
      </c>
      <c r="H75" s="126">
        <v>0</v>
      </c>
      <c r="I75" s="30">
        <v>31</v>
      </c>
      <c r="J75" s="30">
        <v>304</v>
      </c>
      <c r="K75" s="74">
        <v>3136.5</v>
      </c>
      <c r="L75" s="127">
        <v>0</v>
      </c>
      <c r="M75" s="30">
        <f t="shared" si="14"/>
        <v>18826619.213414125</v>
      </c>
      <c r="N75" s="30">
        <f t="shared" si="10"/>
        <v>17800873.79687918</v>
      </c>
      <c r="O75" s="49">
        <f t="shared" si="11"/>
        <v>-832614.868181061</v>
      </c>
      <c r="P75" s="48">
        <f t="shared" si="12"/>
        <v>4.2352355372814253E-2</v>
      </c>
    </row>
    <row r="76" spans="1:16" x14ac:dyDescent="0.2">
      <c r="A76" s="2">
        <v>42767</v>
      </c>
      <c r="B76">
        <f t="shared" si="13"/>
        <v>2017</v>
      </c>
      <c r="C76">
        <f t="shared" si="6"/>
        <v>2</v>
      </c>
      <c r="D76" s="54">
        <v>16411229.214457829</v>
      </c>
      <c r="E76" s="54">
        <v>1025745.4165349469</v>
      </c>
      <c r="F76" s="54">
        <v>17436974.630992774</v>
      </c>
      <c r="G76" s="126">
        <v>287.3</v>
      </c>
      <c r="H76" s="126">
        <v>0</v>
      </c>
      <c r="I76" s="30">
        <v>28</v>
      </c>
      <c r="J76" s="30">
        <v>306</v>
      </c>
      <c r="K76" s="74">
        <v>3152.5</v>
      </c>
      <c r="L76" s="127">
        <v>0</v>
      </c>
      <c r="M76" s="30">
        <f t="shared" si="14"/>
        <v>17497589.579327051</v>
      </c>
      <c r="N76" s="30">
        <f t="shared" si="10"/>
        <v>16471844.162792103</v>
      </c>
      <c r="O76" s="49">
        <f t="shared" si="11"/>
        <v>60614.948334276676</v>
      </c>
      <c r="P76" s="48">
        <f t="shared" si="12"/>
        <v>3.476230803624537E-3</v>
      </c>
    </row>
    <row r="77" spans="1:16" x14ac:dyDescent="0.2">
      <c r="A77" s="2">
        <v>42795</v>
      </c>
      <c r="B77">
        <f t="shared" si="13"/>
        <v>2017</v>
      </c>
      <c r="C77">
        <f t="shared" si="6"/>
        <v>3</v>
      </c>
      <c r="D77" s="54">
        <v>18608676.597590368</v>
      </c>
      <c r="E77" s="54">
        <v>1025745.4165349469</v>
      </c>
      <c r="F77" s="54">
        <v>19634422.014125314</v>
      </c>
      <c r="G77" s="126">
        <v>327.10000000000002</v>
      </c>
      <c r="H77" s="126">
        <v>0</v>
      </c>
      <c r="I77" s="30">
        <v>31</v>
      </c>
      <c r="J77" s="30">
        <v>307</v>
      </c>
      <c r="K77" s="74">
        <v>3168.5</v>
      </c>
      <c r="L77" s="127">
        <v>0</v>
      </c>
      <c r="M77" s="30">
        <f t="shared" si="14"/>
        <v>18856777.898302719</v>
      </c>
      <c r="N77" s="30">
        <f t="shared" si="10"/>
        <v>17831032.481767774</v>
      </c>
      <c r="O77" s="49">
        <f t="shared" si="11"/>
        <v>-777644.11582259461</v>
      </c>
      <c r="P77" s="48">
        <f t="shared" si="12"/>
        <v>3.9606162853337123E-2</v>
      </c>
    </row>
    <row r="78" spans="1:16" x14ac:dyDescent="0.2">
      <c r="A78" s="2">
        <v>42826</v>
      </c>
      <c r="B78">
        <f t="shared" si="13"/>
        <v>2017</v>
      </c>
      <c r="C78">
        <f t="shared" si="6"/>
        <v>4</v>
      </c>
      <c r="D78" s="54">
        <v>15988040.308433732</v>
      </c>
      <c r="E78" s="54">
        <v>1025745.4165349469</v>
      </c>
      <c r="F78" s="54">
        <v>17013785.724968679</v>
      </c>
      <c r="G78" s="126">
        <v>57.499999999999986</v>
      </c>
      <c r="H78" s="126">
        <v>20.5</v>
      </c>
      <c r="I78" s="30">
        <v>30</v>
      </c>
      <c r="J78" s="30">
        <v>307</v>
      </c>
      <c r="K78" s="74">
        <v>3177</v>
      </c>
      <c r="L78" s="127">
        <v>0</v>
      </c>
      <c r="M78" s="30">
        <f t="shared" si="14"/>
        <v>17273302.427919574</v>
      </c>
      <c r="N78" s="30">
        <f t="shared" si="10"/>
        <v>16247557.011384627</v>
      </c>
      <c r="O78" s="49">
        <f t="shared" si="11"/>
        <v>259516.70295089483</v>
      </c>
      <c r="P78" s="48">
        <f t="shared" si="12"/>
        <v>1.5253319111104098E-2</v>
      </c>
    </row>
    <row r="79" spans="1:16" x14ac:dyDescent="0.2">
      <c r="A79" s="2">
        <v>42856</v>
      </c>
      <c r="B79">
        <f t="shared" si="13"/>
        <v>2017</v>
      </c>
      <c r="C79">
        <f t="shared" si="6"/>
        <v>5</v>
      </c>
      <c r="D79" s="54">
        <v>17068131.836144567</v>
      </c>
      <c r="E79" s="54">
        <v>1025745.4165349469</v>
      </c>
      <c r="F79" s="54">
        <v>18093877.252679512</v>
      </c>
      <c r="G79" s="126">
        <v>22.200000000000003</v>
      </c>
      <c r="H79" s="126">
        <v>63.900000000000013</v>
      </c>
      <c r="I79" s="30">
        <v>31</v>
      </c>
      <c r="J79" s="30">
        <v>324</v>
      </c>
      <c r="K79" s="74">
        <v>3185.7</v>
      </c>
      <c r="L79" s="127">
        <v>0</v>
      </c>
      <c r="M79" s="30">
        <f t="shared" si="14"/>
        <v>18169552.140206456</v>
      </c>
      <c r="N79" s="30">
        <f t="shared" si="10"/>
        <v>17143806.723671511</v>
      </c>
      <c r="O79" s="49">
        <f t="shared" si="11"/>
        <v>75674.88752694428</v>
      </c>
      <c r="P79" s="48">
        <f t="shared" si="12"/>
        <v>4.1823477892632228E-3</v>
      </c>
    </row>
    <row r="80" spans="1:16" x14ac:dyDescent="0.2">
      <c r="A80" s="2">
        <v>42887</v>
      </c>
      <c r="B80">
        <f t="shared" si="13"/>
        <v>2017</v>
      </c>
      <c r="C80">
        <f t="shared" si="6"/>
        <v>6</v>
      </c>
      <c r="D80" s="54">
        <v>18289433.233734939</v>
      </c>
      <c r="E80" s="54">
        <v>1025745.4165349469</v>
      </c>
      <c r="F80" s="54">
        <v>19315178.650269885</v>
      </c>
      <c r="G80" s="126">
        <v>0</v>
      </c>
      <c r="H80" s="126">
        <v>221.49999999999997</v>
      </c>
      <c r="I80" s="30">
        <v>30</v>
      </c>
      <c r="J80" s="30">
        <v>325</v>
      </c>
      <c r="K80" s="74">
        <v>3186.9</v>
      </c>
      <c r="L80" s="127">
        <v>0</v>
      </c>
      <c r="M80" s="30">
        <f t="shared" si="14"/>
        <v>18773701.95148091</v>
      </c>
      <c r="N80" s="30">
        <f t="shared" si="10"/>
        <v>17747956.534945965</v>
      </c>
      <c r="O80" s="49">
        <f t="shared" si="11"/>
        <v>-541476.69878897443</v>
      </c>
      <c r="P80" s="48">
        <f t="shared" si="12"/>
        <v>2.8033740127037788E-2</v>
      </c>
    </row>
    <row r="81" spans="1:30" x14ac:dyDescent="0.2">
      <c r="A81" s="2">
        <v>42917</v>
      </c>
      <c r="B81">
        <f t="shared" si="13"/>
        <v>2017</v>
      </c>
      <c r="C81">
        <f t="shared" si="6"/>
        <v>7</v>
      </c>
      <c r="D81" s="54">
        <v>18523386.361445796</v>
      </c>
      <c r="E81" s="54">
        <v>1025745.4165349469</v>
      </c>
      <c r="F81" s="54">
        <v>19549131.777980741</v>
      </c>
      <c r="G81" s="126">
        <v>0</v>
      </c>
      <c r="H81" s="126">
        <v>302.50000000000006</v>
      </c>
      <c r="I81" s="30">
        <v>31</v>
      </c>
      <c r="J81" s="30">
        <v>325</v>
      </c>
      <c r="K81" s="74">
        <v>3187.6</v>
      </c>
      <c r="L81" s="127">
        <v>0</v>
      </c>
      <c r="M81" s="30">
        <f t="shared" si="14"/>
        <v>19667256.18533586</v>
      </c>
      <c r="N81" s="30">
        <f t="shared" si="10"/>
        <v>18641510.768800914</v>
      </c>
      <c r="O81" s="49">
        <f t="shared" si="11"/>
        <v>118124.40735511854</v>
      </c>
      <c r="P81" s="48">
        <f t="shared" si="12"/>
        <v>6.0424375208401092E-3</v>
      </c>
    </row>
    <row r="82" spans="1:30" x14ac:dyDescent="0.2">
      <c r="A82" s="2">
        <v>42948</v>
      </c>
      <c r="B82">
        <f t="shared" si="13"/>
        <v>2017</v>
      </c>
      <c r="C82">
        <f t="shared" si="6"/>
        <v>8</v>
      </c>
      <c r="D82" s="54">
        <v>18386586.149397578</v>
      </c>
      <c r="E82" s="54">
        <v>1025745.4165349469</v>
      </c>
      <c r="F82" s="54">
        <v>19412331.565932523</v>
      </c>
      <c r="G82" s="126">
        <v>0</v>
      </c>
      <c r="H82" s="126">
        <v>249.60000000000005</v>
      </c>
      <c r="I82" s="30">
        <v>31</v>
      </c>
      <c r="J82" s="30">
        <v>326</v>
      </c>
      <c r="K82" s="74">
        <v>3194.3</v>
      </c>
      <c r="L82" s="127">
        <v>0</v>
      </c>
      <c r="M82" s="30">
        <f t="shared" si="14"/>
        <v>19368518.664465088</v>
      </c>
      <c r="N82" s="30">
        <f t="shared" si="10"/>
        <v>18342773.247930143</v>
      </c>
      <c r="O82" s="49">
        <f t="shared" si="11"/>
        <v>-43812.901467435062</v>
      </c>
      <c r="P82" s="48">
        <f t="shared" si="12"/>
        <v>2.2569623498665185E-3</v>
      </c>
    </row>
    <row r="83" spans="1:30" x14ac:dyDescent="0.2">
      <c r="A83" s="2">
        <v>42979</v>
      </c>
      <c r="B83">
        <f t="shared" si="13"/>
        <v>2017</v>
      </c>
      <c r="C83">
        <f t="shared" ref="C83:C127" si="15">MONTH(A83)</f>
        <v>9</v>
      </c>
      <c r="D83" s="54">
        <v>18228570.718072273</v>
      </c>
      <c r="E83" s="54">
        <v>1025745.4165349469</v>
      </c>
      <c r="F83" s="54">
        <v>19254316.134607218</v>
      </c>
      <c r="G83" s="126">
        <v>0</v>
      </c>
      <c r="H83" s="126">
        <v>203.9</v>
      </c>
      <c r="I83" s="30">
        <v>30</v>
      </c>
      <c r="J83" s="30">
        <v>325</v>
      </c>
      <c r="K83" s="74">
        <v>3212.3</v>
      </c>
      <c r="L83" s="127">
        <v>0</v>
      </c>
      <c r="M83" s="30">
        <f t="shared" si="14"/>
        <v>18764188.294816013</v>
      </c>
      <c r="N83" s="30">
        <f t="shared" si="10"/>
        <v>17738442.878281068</v>
      </c>
      <c r="O83" s="49">
        <f t="shared" si="11"/>
        <v>-490127.83979120478</v>
      </c>
      <c r="P83" s="48">
        <f t="shared" si="12"/>
        <v>2.5455478987916971E-2</v>
      </c>
      <c r="AD83"/>
    </row>
    <row r="84" spans="1:30" x14ac:dyDescent="0.2">
      <c r="A84" s="2">
        <v>43009</v>
      </c>
      <c r="B84">
        <f t="shared" si="13"/>
        <v>2017</v>
      </c>
      <c r="C84">
        <f t="shared" si="15"/>
        <v>10</v>
      </c>
      <c r="D84" s="54">
        <v>17434652.356626499</v>
      </c>
      <c r="E84" s="54">
        <v>1025745.4165349469</v>
      </c>
      <c r="F84" s="54">
        <v>18460397.773161445</v>
      </c>
      <c r="G84" s="126">
        <v>24.199999999999996</v>
      </c>
      <c r="H84" s="126">
        <v>84.3</v>
      </c>
      <c r="I84" s="30">
        <v>31</v>
      </c>
      <c r="J84" s="30">
        <v>325</v>
      </c>
      <c r="K84" s="74">
        <v>3234.8</v>
      </c>
      <c r="L84" s="127">
        <v>0</v>
      </c>
      <c r="M84" s="30">
        <f t="shared" si="14"/>
        <v>18545900.955499411</v>
      </c>
      <c r="N84" s="30">
        <f t="shared" si="10"/>
        <v>17520155.538964465</v>
      </c>
      <c r="O84" s="49">
        <f t="shared" si="11"/>
        <v>85503.182337965816</v>
      </c>
      <c r="P84" s="48">
        <f t="shared" si="12"/>
        <v>4.6317085573461579E-3</v>
      </c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</row>
    <row r="85" spans="1:30" x14ac:dyDescent="0.2">
      <c r="A85" s="2">
        <v>43040</v>
      </c>
      <c r="B85">
        <f t="shared" si="13"/>
        <v>2017</v>
      </c>
      <c r="C85">
        <f t="shared" si="15"/>
        <v>11</v>
      </c>
      <c r="D85" s="54">
        <v>17640730.698795177</v>
      </c>
      <c r="E85" s="54">
        <v>1025745.4165349469</v>
      </c>
      <c r="F85" s="54">
        <v>18666476.115330122</v>
      </c>
      <c r="G85" s="126">
        <v>191.20000000000005</v>
      </c>
      <c r="H85" s="126">
        <v>0</v>
      </c>
      <c r="I85" s="30">
        <v>30</v>
      </c>
      <c r="J85" s="30">
        <v>328</v>
      </c>
      <c r="K85" s="74">
        <v>3248.6</v>
      </c>
      <c r="L85" s="127">
        <v>0</v>
      </c>
      <c r="M85" s="30">
        <f t="shared" si="14"/>
        <v>18630647.958933011</v>
      </c>
      <c r="N85" s="30">
        <f t="shared" si="10"/>
        <v>17604902.542398065</v>
      </c>
      <c r="O85" s="49">
        <f t="shared" si="11"/>
        <v>-35828.156397111714</v>
      </c>
      <c r="P85" s="48">
        <f t="shared" si="12"/>
        <v>1.9193851145630698E-3</v>
      </c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</row>
    <row r="86" spans="1:30" x14ac:dyDescent="0.2">
      <c r="A86" s="2">
        <v>43070</v>
      </c>
      <c r="B86">
        <f t="shared" si="13"/>
        <v>2017</v>
      </c>
      <c r="C86">
        <f t="shared" si="15"/>
        <v>12</v>
      </c>
      <c r="D86" s="54">
        <v>18421065.821686748</v>
      </c>
      <c r="E86" s="54">
        <v>1025745.4165349469</v>
      </c>
      <c r="F86" s="54">
        <v>19446811.238221694</v>
      </c>
      <c r="G86" s="126">
        <v>470.5</v>
      </c>
      <c r="H86" s="126">
        <v>0</v>
      </c>
      <c r="I86" s="30">
        <v>31</v>
      </c>
      <c r="J86" s="30">
        <v>329</v>
      </c>
      <c r="K86" s="74">
        <v>3264.9</v>
      </c>
      <c r="L86" s="127">
        <v>0</v>
      </c>
      <c r="M86" s="30">
        <f t="shared" si="14"/>
        <v>20528661.490129579</v>
      </c>
      <c r="N86" s="30">
        <f t="shared" si="10"/>
        <v>19502916.073594633</v>
      </c>
      <c r="O86" s="49">
        <f t="shared" si="11"/>
        <v>1081850.2519078851</v>
      </c>
      <c r="P86" s="48">
        <f t="shared" si="12"/>
        <v>5.56312414747753E-2</v>
      </c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</row>
    <row r="87" spans="1:30" x14ac:dyDescent="0.2">
      <c r="A87" s="2">
        <v>43101</v>
      </c>
      <c r="B87">
        <f t="shared" si="13"/>
        <v>2018</v>
      </c>
      <c r="C87">
        <f t="shared" si="15"/>
        <v>1</v>
      </c>
      <c r="D87" s="54">
        <v>19760806.669879515</v>
      </c>
      <c r="E87" s="54">
        <v>1423583.7771266622</v>
      </c>
      <c r="F87" s="54">
        <v>21184390.447006177</v>
      </c>
      <c r="G87" s="126">
        <v>484.2999999999999</v>
      </c>
      <c r="H87" s="126">
        <v>0</v>
      </c>
      <c r="I87" s="30">
        <v>31</v>
      </c>
      <c r="J87" s="30">
        <v>327</v>
      </c>
      <c r="K87" s="74">
        <v>3268.4</v>
      </c>
      <c r="L87" s="127">
        <v>0</v>
      </c>
      <c r="M87" s="30">
        <f t="shared" si="14"/>
        <v>20567907.294566005</v>
      </c>
      <c r="N87" s="30">
        <f t="shared" si="10"/>
        <v>19144323.517439343</v>
      </c>
      <c r="O87" s="49">
        <f t="shared" si="11"/>
        <v>-616483.15244017169</v>
      </c>
      <c r="P87" s="48">
        <f t="shared" si="12"/>
        <v>2.9100820907844171E-2</v>
      </c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</row>
    <row r="88" spans="1:30" x14ac:dyDescent="0.2">
      <c r="A88" s="2">
        <v>43132</v>
      </c>
      <c r="B88">
        <f t="shared" si="13"/>
        <v>2018</v>
      </c>
      <c r="C88">
        <f t="shared" si="15"/>
        <v>2</v>
      </c>
      <c r="D88" s="54">
        <v>17343083.026506029</v>
      </c>
      <c r="E88" s="54">
        <v>1423583.7771266622</v>
      </c>
      <c r="F88" s="54">
        <v>18766666.803632692</v>
      </c>
      <c r="G88" s="126">
        <v>331.00000000000011</v>
      </c>
      <c r="H88" s="126">
        <v>0</v>
      </c>
      <c r="I88" s="30">
        <v>28</v>
      </c>
      <c r="J88" s="30">
        <v>328</v>
      </c>
      <c r="K88" s="74">
        <v>3267.8</v>
      </c>
      <c r="L88" s="127">
        <v>0</v>
      </c>
      <c r="M88" s="30">
        <f t="shared" si="14"/>
        <v>18730918.594839014</v>
      </c>
      <c r="N88" s="30">
        <f t="shared" si="10"/>
        <v>17307334.817712352</v>
      </c>
      <c r="O88" s="49">
        <f t="shared" si="11"/>
        <v>-35748.20879367739</v>
      </c>
      <c r="P88" s="48">
        <f t="shared" si="12"/>
        <v>1.9048778969506484E-3</v>
      </c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</row>
    <row r="89" spans="1:30" x14ac:dyDescent="0.2">
      <c r="A89" s="2">
        <v>43160</v>
      </c>
      <c r="B89">
        <f t="shared" si="13"/>
        <v>2018</v>
      </c>
      <c r="C89">
        <f t="shared" si="15"/>
        <v>3</v>
      </c>
      <c r="D89" s="54">
        <v>16274077.571084337</v>
      </c>
      <c r="E89" s="54">
        <v>1423583.7771266622</v>
      </c>
      <c r="F89" s="54">
        <v>17697661.348210998</v>
      </c>
      <c r="G89" s="126">
        <v>306.00000000000006</v>
      </c>
      <c r="H89" s="126">
        <v>0</v>
      </c>
      <c r="I89" s="30">
        <v>31</v>
      </c>
      <c r="J89" s="30">
        <v>331</v>
      </c>
      <c r="K89" s="74">
        <v>3257.5</v>
      </c>
      <c r="L89" s="127">
        <v>0</v>
      </c>
      <c r="M89" s="30">
        <f t="shared" si="14"/>
        <v>19689570.387520984</v>
      </c>
      <c r="N89" s="30">
        <f t="shared" si="10"/>
        <v>18265986.610394321</v>
      </c>
      <c r="O89" s="49">
        <f t="shared" si="11"/>
        <v>1991909.0393099859</v>
      </c>
      <c r="P89" s="48">
        <f t="shared" si="12"/>
        <v>0.11255210505603566</v>
      </c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</row>
    <row r="90" spans="1:30" x14ac:dyDescent="0.2">
      <c r="A90" s="2">
        <v>43191</v>
      </c>
      <c r="B90">
        <f t="shared" si="13"/>
        <v>2018</v>
      </c>
      <c r="C90">
        <f t="shared" si="15"/>
        <v>4</v>
      </c>
      <c r="D90" s="54">
        <v>17860673.320481922</v>
      </c>
      <c r="E90" s="54">
        <v>1423583.7771266622</v>
      </c>
      <c r="F90" s="54">
        <v>19284257.097608585</v>
      </c>
      <c r="G90" s="126">
        <v>200</v>
      </c>
      <c r="H90" s="126">
        <v>0</v>
      </c>
      <c r="I90" s="30">
        <v>30</v>
      </c>
      <c r="J90" s="30">
        <v>332</v>
      </c>
      <c r="K90" s="74">
        <v>3252.9</v>
      </c>
      <c r="L90" s="127">
        <v>0</v>
      </c>
      <c r="M90" s="30">
        <f t="shared" si="14"/>
        <v>18789042.140501332</v>
      </c>
      <c r="N90" s="30">
        <f t="shared" si="10"/>
        <v>17365458.363374669</v>
      </c>
      <c r="O90" s="49">
        <f t="shared" si="11"/>
        <v>-495214.95710725337</v>
      </c>
      <c r="P90" s="48">
        <f t="shared" si="12"/>
        <v>2.5679752898993671E-2</v>
      </c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</row>
    <row r="91" spans="1:30" x14ac:dyDescent="0.2">
      <c r="A91" s="2">
        <v>43221</v>
      </c>
      <c r="B91">
        <f t="shared" si="13"/>
        <v>2018</v>
      </c>
      <c r="C91">
        <f t="shared" si="15"/>
        <v>5</v>
      </c>
      <c r="D91" s="54">
        <v>18372275.971084341</v>
      </c>
      <c r="E91" s="54">
        <v>1423583.7771266622</v>
      </c>
      <c r="F91" s="54">
        <v>19795859.748211004</v>
      </c>
      <c r="G91" s="126">
        <v>1.9000000000000004</v>
      </c>
      <c r="H91" s="126">
        <v>158.9</v>
      </c>
      <c r="I91" s="30">
        <v>31</v>
      </c>
      <c r="J91" s="30">
        <v>333</v>
      </c>
      <c r="K91" s="74">
        <v>3249.3</v>
      </c>
      <c r="L91" s="127">
        <v>0</v>
      </c>
      <c r="M91" s="30">
        <f t="shared" si="14"/>
        <v>19174618.003537625</v>
      </c>
      <c r="N91" s="30">
        <f t="shared" si="10"/>
        <v>17751034.226410963</v>
      </c>
      <c r="O91" s="49">
        <f t="shared" si="11"/>
        <v>-621241.74467337877</v>
      </c>
      <c r="P91" s="48">
        <f t="shared" si="12"/>
        <v>3.1382407865842843E-2</v>
      </c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</row>
    <row r="92" spans="1:30" x14ac:dyDescent="0.2">
      <c r="A92" s="2">
        <v>43252</v>
      </c>
      <c r="B92">
        <f t="shared" si="13"/>
        <v>2018</v>
      </c>
      <c r="C92">
        <f t="shared" si="15"/>
        <v>6</v>
      </c>
      <c r="D92" s="54">
        <v>19648875.142168682</v>
      </c>
      <c r="E92" s="54">
        <v>1423583.7771266622</v>
      </c>
      <c r="F92" s="54">
        <v>21072458.919295345</v>
      </c>
      <c r="G92" s="126">
        <v>0</v>
      </c>
      <c r="H92" s="126">
        <v>225.70000000000002</v>
      </c>
      <c r="I92" s="30">
        <v>30</v>
      </c>
      <c r="J92" s="30">
        <v>333</v>
      </c>
      <c r="K92" s="74">
        <v>3254.6</v>
      </c>
      <c r="L92" s="127">
        <v>0</v>
      </c>
      <c r="M92" s="30">
        <f t="shared" si="14"/>
        <v>19276129.633000106</v>
      </c>
      <c r="N92" s="30">
        <f t="shared" si="10"/>
        <v>17852545.855873443</v>
      </c>
      <c r="O92" s="49">
        <f t="shared" si="11"/>
        <v>-1796329.2862952389</v>
      </c>
      <c r="P92" s="48">
        <f t="shared" si="12"/>
        <v>8.5245357135346006E-2</v>
      </c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</row>
    <row r="93" spans="1:30" x14ac:dyDescent="0.2">
      <c r="A93" s="2">
        <v>43282</v>
      </c>
      <c r="B93">
        <f t="shared" si="13"/>
        <v>2018</v>
      </c>
      <c r="C93">
        <f t="shared" si="15"/>
        <v>7</v>
      </c>
      <c r="D93" s="54">
        <v>19458868.327710845</v>
      </c>
      <c r="E93" s="54">
        <v>1423583.7771266622</v>
      </c>
      <c r="F93" s="54">
        <v>20882452.104837507</v>
      </c>
      <c r="G93" s="126">
        <v>0</v>
      </c>
      <c r="H93" s="126">
        <v>353.79999999999995</v>
      </c>
      <c r="I93" s="30">
        <v>31</v>
      </c>
      <c r="J93" s="30">
        <v>335</v>
      </c>
      <c r="K93" s="74">
        <v>3268.2</v>
      </c>
      <c r="L93" s="127">
        <v>0</v>
      </c>
      <c r="M93" s="30">
        <f t="shared" si="14"/>
        <v>20583536.958516121</v>
      </c>
      <c r="N93" s="30">
        <f t="shared" si="10"/>
        <v>19159953.181389458</v>
      </c>
      <c r="O93" s="49">
        <f t="shared" si="11"/>
        <v>-298915.1463213861</v>
      </c>
      <c r="P93" s="48">
        <f t="shared" si="12"/>
        <v>1.4314178470072544E-2</v>
      </c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</row>
    <row r="94" spans="1:30" x14ac:dyDescent="0.2">
      <c r="A94" s="2">
        <v>43313</v>
      </c>
      <c r="B94">
        <f t="shared" si="13"/>
        <v>2018</v>
      </c>
      <c r="C94">
        <f t="shared" si="15"/>
        <v>8</v>
      </c>
      <c r="D94" s="54">
        <v>20075782.737349391</v>
      </c>
      <c r="E94" s="54">
        <v>1423583.7771266622</v>
      </c>
      <c r="F94" s="54">
        <v>21499366.514476053</v>
      </c>
      <c r="G94" s="126">
        <v>0</v>
      </c>
      <c r="H94" s="126">
        <v>347.2</v>
      </c>
      <c r="I94" s="30">
        <v>31</v>
      </c>
      <c r="J94" s="30">
        <v>329</v>
      </c>
      <c r="K94" s="74">
        <v>3263.2</v>
      </c>
      <c r="L94" s="127">
        <v>0</v>
      </c>
      <c r="M94" s="30">
        <f t="shared" si="14"/>
        <v>20376935.009129584</v>
      </c>
      <c r="N94" s="30">
        <f t="shared" si="10"/>
        <v>18953351.232002921</v>
      </c>
      <c r="O94" s="49">
        <f t="shared" si="11"/>
        <v>-1122431.5053464696</v>
      </c>
      <c r="P94" s="48">
        <f t="shared" si="12"/>
        <v>5.2207654797210366E-2</v>
      </c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</row>
    <row r="95" spans="1:30" x14ac:dyDescent="0.2">
      <c r="A95" s="2">
        <v>43344</v>
      </c>
      <c r="B95">
        <f t="shared" si="13"/>
        <v>2018</v>
      </c>
      <c r="C95">
        <f t="shared" si="15"/>
        <v>9</v>
      </c>
      <c r="D95" s="54">
        <v>18418754.37108434</v>
      </c>
      <c r="E95" s="54">
        <v>1423583.7771266622</v>
      </c>
      <c r="F95" s="54">
        <v>19842338.148211002</v>
      </c>
      <c r="G95" s="126">
        <v>0</v>
      </c>
      <c r="H95" s="126">
        <v>210.59999999999997</v>
      </c>
      <c r="I95" s="30">
        <v>30</v>
      </c>
      <c r="J95" s="30">
        <v>326</v>
      </c>
      <c r="K95" s="74">
        <v>3255.6</v>
      </c>
      <c r="L95" s="127">
        <v>0</v>
      </c>
      <c r="M95" s="30">
        <f t="shared" si="14"/>
        <v>19014870.069172814</v>
      </c>
      <c r="N95" s="30">
        <f t="shared" si="10"/>
        <v>17591286.292046152</v>
      </c>
      <c r="O95" s="49">
        <f t="shared" si="11"/>
        <v>-827468.07903818786</v>
      </c>
      <c r="P95" s="48">
        <f t="shared" si="12"/>
        <v>4.1702145828655425E-2</v>
      </c>
      <c r="AC95" s="5"/>
    </row>
    <row r="96" spans="1:30" x14ac:dyDescent="0.2">
      <c r="A96" s="2">
        <v>43374</v>
      </c>
      <c r="B96">
        <f t="shared" si="13"/>
        <v>2018</v>
      </c>
      <c r="C96">
        <f t="shared" si="15"/>
        <v>10</v>
      </c>
      <c r="D96" s="54">
        <v>17903378.053012051</v>
      </c>
      <c r="E96" s="54">
        <v>1423583.7771266622</v>
      </c>
      <c r="F96" s="54">
        <v>19326961.830138713</v>
      </c>
      <c r="G96" s="126">
        <v>81.899999999999977</v>
      </c>
      <c r="H96" s="126">
        <v>30.9</v>
      </c>
      <c r="I96" s="30">
        <v>31</v>
      </c>
      <c r="J96" s="30">
        <v>326</v>
      </c>
      <c r="K96" s="74">
        <v>3254.2</v>
      </c>
      <c r="L96" s="127">
        <v>0</v>
      </c>
      <c r="M96" s="30">
        <f t="shared" si="14"/>
        <v>18597365.884710021</v>
      </c>
      <c r="N96" s="30">
        <f t="shared" si="10"/>
        <v>17173782.107583359</v>
      </c>
      <c r="O96" s="49">
        <f t="shared" si="11"/>
        <v>-729595.9454286918</v>
      </c>
      <c r="P96" s="48">
        <f t="shared" si="12"/>
        <v>3.7750162278012603E-2</v>
      </c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</row>
    <row r="97" spans="1:38" x14ac:dyDescent="0.2">
      <c r="A97" s="2">
        <v>43405</v>
      </c>
      <c r="B97">
        <f t="shared" si="13"/>
        <v>2018</v>
      </c>
      <c r="C97">
        <f t="shared" si="15"/>
        <v>11</v>
      </c>
      <c r="D97" s="54">
        <v>18069580.289156623</v>
      </c>
      <c r="E97" s="54">
        <v>1423583.7771266622</v>
      </c>
      <c r="F97" s="54">
        <v>19493164.066283286</v>
      </c>
      <c r="G97" s="126">
        <v>256.49999999999994</v>
      </c>
      <c r="H97" s="126">
        <v>0.40000000000000036</v>
      </c>
      <c r="I97" s="30">
        <v>30</v>
      </c>
      <c r="J97" s="30">
        <v>328</v>
      </c>
      <c r="K97" s="74">
        <v>3272.2</v>
      </c>
      <c r="L97" s="127">
        <v>0</v>
      </c>
      <c r="M97" s="30">
        <f t="shared" si="14"/>
        <v>19072301.147891253</v>
      </c>
      <c r="N97" s="30">
        <f t="shared" si="10"/>
        <v>17648717.370764591</v>
      </c>
      <c r="O97" s="49">
        <f t="shared" si="11"/>
        <v>-420862.91839203238</v>
      </c>
      <c r="P97" s="48">
        <f t="shared" si="12"/>
        <v>2.1590282468303121E-2</v>
      </c>
    </row>
    <row r="98" spans="1:38" x14ac:dyDescent="0.2">
      <c r="A98" s="2">
        <v>43435</v>
      </c>
      <c r="B98">
        <f t="shared" si="13"/>
        <v>2018</v>
      </c>
      <c r="C98">
        <f t="shared" si="15"/>
        <v>12</v>
      </c>
      <c r="D98" s="54">
        <v>18620637.38795181</v>
      </c>
      <c r="E98" s="54">
        <v>1423583.7771266622</v>
      </c>
      <c r="F98" s="54">
        <v>20044221.165078472</v>
      </c>
      <c r="G98" s="126">
        <v>315.60000000000002</v>
      </c>
      <c r="H98" s="126">
        <v>0</v>
      </c>
      <c r="I98" s="30">
        <v>31</v>
      </c>
      <c r="J98" s="30">
        <v>328</v>
      </c>
      <c r="K98" s="74">
        <v>3285.5</v>
      </c>
      <c r="L98" s="127">
        <v>0</v>
      </c>
      <c r="M98" s="30">
        <f t="shared" si="14"/>
        <v>19786700.066529252</v>
      </c>
      <c r="N98" s="30">
        <f t="shared" si="10"/>
        <v>18363116.289402589</v>
      </c>
      <c r="O98" s="49">
        <f t="shared" si="11"/>
        <v>-257521.09854922071</v>
      </c>
      <c r="P98" s="48">
        <f t="shared" si="12"/>
        <v>1.2847648029242473E-2</v>
      </c>
      <c r="Q98" s="39"/>
    </row>
    <row r="99" spans="1:38" s="8" customFormat="1" x14ac:dyDescent="0.2">
      <c r="A99" s="2">
        <v>43466</v>
      </c>
      <c r="B99">
        <f t="shared" si="13"/>
        <v>2019</v>
      </c>
      <c r="C99">
        <f t="shared" si="15"/>
        <v>1</v>
      </c>
      <c r="D99" s="54">
        <v>20021565.956626497</v>
      </c>
      <c r="E99" s="54">
        <v>1598997.2617911876</v>
      </c>
      <c r="F99" s="54">
        <v>21620563.218417685</v>
      </c>
      <c r="G99" s="126">
        <v>516.5</v>
      </c>
      <c r="H99" s="126">
        <v>0</v>
      </c>
      <c r="I99" s="30">
        <v>31</v>
      </c>
      <c r="J99" s="30">
        <v>326</v>
      </c>
      <c r="K99" s="74">
        <v>3291.7</v>
      </c>
      <c r="L99" s="127">
        <v>0</v>
      </c>
      <c r="M99" s="30">
        <f t="shared" si="14"/>
        <v>20809950.096402604</v>
      </c>
      <c r="N99" s="30">
        <f t="shared" ref="N99:N127" si="16">M99-E99</f>
        <v>19210952.834611416</v>
      </c>
      <c r="O99" s="49">
        <f t="shared" ref="O99:O127" si="17">+M99-F99</f>
        <v>-810613.12201508135</v>
      </c>
      <c r="P99" s="48">
        <f t="shared" ref="P99:P127" si="18">ABS(O99/F99)</f>
        <v>3.7492692203529313E-2</v>
      </c>
      <c r="Q99" s="39"/>
      <c r="R99" s="1"/>
      <c r="S99" s="1"/>
      <c r="T99" s="1"/>
      <c r="U99"/>
      <c r="V99"/>
      <c r="W99"/>
      <c r="X99"/>
      <c r="Y99"/>
      <c r="Z99"/>
      <c r="AA99"/>
      <c r="AB99"/>
      <c r="AC99"/>
      <c r="AD99" s="37"/>
      <c r="AE99" s="37"/>
      <c r="AF99" s="37"/>
      <c r="AG99" s="37"/>
      <c r="AH99" s="37"/>
      <c r="AI99" s="37"/>
      <c r="AJ99" s="37"/>
      <c r="AK99" s="37"/>
      <c r="AL99" s="37"/>
    </row>
    <row r="100" spans="1:38" x14ac:dyDescent="0.2">
      <c r="A100" s="2">
        <v>43497</v>
      </c>
      <c r="B100">
        <f t="shared" si="13"/>
        <v>2019</v>
      </c>
      <c r="C100">
        <f t="shared" si="15"/>
        <v>2</v>
      </c>
      <c r="D100" s="54">
        <v>17820036.587951798</v>
      </c>
      <c r="E100" s="54">
        <v>1598997.2617911876</v>
      </c>
      <c r="F100" s="54">
        <v>19419033.849742986</v>
      </c>
      <c r="G100" s="126">
        <v>397.7000000000001</v>
      </c>
      <c r="H100" s="126">
        <v>0</v>
      </c>
      <c r="I100" s="30">
        <v>28</v>
      </c>
      <c r="J100" s="30">
        <v>328</v>
      </c>
      <c r="K100" s="74">
        <v>3307</v>
      </c>
      <c r="L100" s="127">
        <v>0</v>
      </c>
      <c r="M100" s="30">
        <f t="shared" si="14"/>
        <v>19243001.38662979</v>
      </c>
      <c r="N100" s="30">
        <f t="shared" si="16"/>
        <v>17644004.124838602</v>
      </c>
      <c r="O100" s="49">
        <f t="shared" si="17"/>
        <v>-176032.46311319619</v>
      </c>
      <c r="P100" s="48">
        <f t="shared" si="18"/>
        <v>9.0649444496192586E-3</v>
      </c>
      <c r="R100" s="1"/>
      <c r="S100" s="1"/>
      <c r="T100" s="1"/>
    </row>
    <row r="101" spans="1:38" x14ac:dyDescent="0.2">
      <c r="A101" s="2">
        <v>43525</v>
      </c>
      <c r="B101">
        <f t="shared" si="13"/>
        <v>2019</v>
      </c>
      <c r="C101">
        <f t="shared" si="15"/>
        <v>3</v>
      </c>
      <c r="D101" s="54">
        <v>18868347.971084334</v>
      </c>
      <c r="E101" s="54">
        <v>1598997.2617911876</v>
      </c>
      <c r="F101" s="54">
        <v>20467345.232875522</v>
      </c>
      <c r="G101" s="126">
        <v>345.9</v>
      </c>
      <c r="H101" s="126">
        <v>0</v>
      </c>
      <c r="I101" s="30">
        <v>31</v>
      </c>
      <c r="J101" s="30">
        <v>332</v>
      </c>
      <c r="K101" s="74">
        <v>3322.8</v>
      </c>
      <c r="L101" s="127">
        <v>0</v>
      </c>
      <c r="M101" s="30">
        <f t="shared" si="14"/>
        <v>20196058.144404989</v>
      </c>
      <c r="N101" s="30">
        <f t="shared" si="16"/>
        <v>18597060.8826138</v>
      </c>
      <c r="O101" s="49">
        <f t="shared" si="17"/>
        <v>-271287.08847053349</v>
      </c>
      <c r="P101" s="48">
        <f t="shared" si="18"/>
        <v>1.3254630015952465E-2</v>
      </c>
      <c r="Q101" s="39"/>
      <c r="R101" s="1"/>
      <c r="S101" s="1"/>
      <c r="T101" s="1"/>
    </row>
    <row r="102" spans="1:38" x14ac:dyDescent="0.2">
      <c r="A102" s="2">
        <v>43556</v>
      </c>
      <c r="B102">
        <f t="shared" si="13"/>
        <v>2019</v>
      </c>
      <c r="C102">
        <f t="shared" si="15"/>
        <v>4</v>
      </c>
      <c r="D102" s="54">
        <v>17363850.910843372</v>
      </c>
      <c r="E102" s="54">
        <v>1598997.2617911876</v>
      </c>
      <c r="F102" s="54">
        <v>18962848.172634561</v>
      </c>
      <c r="G102" s="126">
        <v>111.89999999999998</v>
      </c>
      <c r="H102" s="126">
        <v>1.9000000000000004</v>
      </c>
      <c r="I102" s="30">
        <v>30</v>
      </c>
      <c r="J102" s="30">
        <v>339</v>
      </c>
      <c r="K102" s="74">
        <v>3341.2</v>
      </c>
      <c r="L102" s="127">
        <v>0</v>
      </c>
      <c r="M102" s="30">
        <f t="shared" si="14"/>
        <v>18881514.943595007</v>
      </c>
      <c r="N102" s="30">
        <f t="shared" si="16"/>
        <v>17282517.681803819</v>
      </c>
      <c r="O102" s="49">
        <f t="shared" si="17"/>
        <v>-81333.229039553553</v>
      </c>
      <c r="P102" s="48">
        <f t="shared" si="18"/>
        <v>4.289082963651325E-3</v>
      </c>
      <c r="R102" s="1"/>
      <c r="S102" s="1"/>
      <c r="T102" s="1"/>
    </row>
    <row r="103" spans="1:38" x14ac:dyDescent="0.2">
      <c r="A103" s="2">
        <v>43586</v>
      </c>
      <c r="B103">
        <f t="shared" si="13"/>
        <v>2019</v>
      </c>
      <c r="C103">
        <f t="shared" si="15"/>
        <v>5</v>
      </c>
      <c r="D103" s="54">
        <v>17505961.4939759</v>
      </c>
      <c r="E103" s="54">
        <v>1598997.2617911876</v>
      </c>
      <c r="F103" s="54">
        <v>19104958.755767088</v>
      </c>
      <c r="G103" s="126">
        <v>20.6</v>
      </c>
      <c r="H103" s="126">
        <v>39.799999999999997</v>
      </c>
      <c r="I103" s="30">
        <v>31</v>
      </c>
      <c r="J103" s="30">
        <v>342</v>
      </c>
      <c r="K103" s="74">
        <v>3355</v>
      </c>
      <c r="L103" s="127">
        <v>0</v>
      </c>
      <c r="M103" s="30">
        <f t="shared" si="14"/>
        <v>19140927.197610866</v>
      </c>
      <c r="N103" s="30">
        <f t="shared" si="16"/>
        <v>17541929.935819678</v>
      </c>
      <c r="O103" s="49">
        <f t="shared" si="17"/>
        <v>35968.441843777895</v>
      </c>
      <c r="P103" s="48">
        <f t="shared" si="18"/>
        <v>1.8826757128130589E-3</v>
      </c>
      <c r="Q103" s="39"/>
      <c r="R103" s="1"/>
      <c r="S103" s="1"/>
      <c r="T103" s="1"/>
    </row>
    <row r="104" spans="1:38" x14ac:dyDescent="0.2">
      <c r="A104" s="2">
        <v>43617</v>
      </c>
      <c r="B104">
        <f t="shared" si="13"/>
        <v>2019</v>
      </c>
      <c r="C104">
        <f t="shared" si="15"/>
        <v>6</v>
      </c>
      <c r="D104" s="54">
        <v>17272766.390361439</v>
      </c>
      <c r="E104" s="54">
        <v>1598997.2617911876</v>
      </c>
      <c r="F104" s="54">
        <v>18871763.652152628</v>
      </c>
      <c r="G104" s="126">
        <v>0</v>
      </c>
      <c r="H104" s="126">
        <v>186.2</v>
      </c>
      <c r="I104" s="30">
        <v>30</v>
      </c>
      <c r="J104" s="30">
        <v>343</v>
      </c>
      <c r="K104" s="74">
        <v>3367.5</v>
      </c>
      <c r="L104" s="127">
        <v>0</v>
      </c>
      <c r="M104" s="30">
        <f t="shared" si="14"/>
        <v>19726824.714284129</v>
      </c>
      <c r="N104" s="30">
        <f t="shared" si="16"/>
        <v>18127827.452492941</v>
      </c>
      <c r="O104" s="49">
        <f t="shared" si="17"/>
        <v>855061.06213150173</v>
      </c>
      <c r="P104" s="48">
        <f t="shared" si="18"/>
        <v>4.5309017105773695E-2</v>
      </c>
      <c r="Q104" s="39"/>
      <c r="R104" s="1"/>
      <c r="S104" s="1"/>
      <c r="T104" s="1"/>
    </row>
    <row r="105" spans="1:38" x14ac:dyDescent="0.2">
      <c r="A105" s="2">
        <v>43647</v>
      </c>
      <c r="B105">
        <f t="shared" si="13"/>
        <v>2019</v>
      </c>
      <c r="C105">
        <f t="shared" si="15"/>
        <v>7</v>
      </c>
      <c r="D105" s="54">
        <v>20011928.221686758</v>
      </c>
      <c r="E105" s="54">
        <v>1598997.2617911876</v>
      </c>
      <c r="F105" s="54">
        <v>21610925.483477946</v>
      </c>
      <c r="G105" s="126">
        <v>0</v>
      </c>
      <c r="H105" s="126">
        <v>352.89999999999992</v>
      </c>
      <c r="I105" s="30">
        <v>31</v>
      </c>
      <c r="J105" s="30">
        <v>346</v>
      </c>
      <c r="K105" s="74">
        <v>3382.6</v>
      </c>
      <c r="L105" s="127">
        <v>0</v>
      </c>
      <c r="M105" s="30">
        <f t="shared" si="14"/>
        <v>21320031.723478884</v>
      </c>
      <c r="N105" s="30">
        <f t="shared" si="16"/>
        <v>19721034.461687695</v>
      </c>
      <c r="O105" s="49">
        <f t="shared" si="17"/>
        <v>-290893.75999906287</v>
      </c>
      <c r="P105" s="48">
        <f t="shared" si="18"/>
        <v>1.346049525835707E-2</v>
      </c>
      <c r="Q105" s="39"/>
      <c r="R105" s="1"/>
      <c r="S105" s="1"/>
      <c r="T105" s="1"/>
    </row>
    <row r="106" spans="1:38" x14ac:dyDescent="0.2">
      <c r="A106" s="2">
        <v>43678</v>
      </c>
      <c r="B106">
        <f t="shared" si="13"/>
        <v>2019</v>
      </c>
      <c r="C106">
        <f t="shared" si="15"/>
        <v>8</v>
      </c>
      <c r="D106" s="54">
        <v>18900005.146987949</v>
      </c>
      <c r="E106" s="54">
        <v>1598997.2617911876</v>
      </c>
      <c r="F106" s="54">
        <v>20499002.408779137</v>
      </c>
      <c r="G106" s="126">
        <v>0</v>
      </c>
      <c r="H106" s="126">
        <v>288.39999999999998</v>
      </c>
      <c r="I106" s="30">
        <v>31</v>
      </c>
      <c r="J106" s="30">
        <v>347</v>
      </c>
      <c r="K106" s="74">
        <v>3394.4</v>
      </c>
      <c r="L106" s="127">
        <v>0</v>
      </c>
      <c r="M106" s="30">
        <f t="shared" si="14"/>
        <v>20965920.748317223</v>
      </c>
      <c r="N106" s="30">
        <f t="shared" si="16"/>
        <v>19366923.486526035</v>
      </c>
      <c r="O106" s="49">
        <f t="shared" si="17"/>
        <v>466918.33953808621</v>
      </c>
      <c r="P106" s="48">
        <f t="shared" si="18"/>
        <v>2.2777612794372785E-2</v>
      </c>
      <c r="Q106" s="39"/>
      <c r="R106" s="1"/>
      <c r="S106" s="1"/>
      <c r="T106" s="1"/>
    </row>
    <row r="107" spans="1:38" x14ac:dyDescent="0.2">
      <c r="A107" s="2">
        <v>43709</v>
      </c>
      <c r="B107">
        <f t="shared" si="13"/>
        <v>2019</v>
      </c>
      <c r="C107">
        <f t="shared" si="15"/>
        <v>9</v>
      </c>
      <c r="D107" s="54">
        <v>17525598.293975905</v>
      </c>
      <c r="E107" s="54">
        <v>1598997.2617911876</v>
      </c>
      <c r="F107" s="54">
        <v>19124595.555767093</v>
      </c>
      <c r="G107" s="126">
        <v>0</v>
      </c>
      <c r="H107" s="126">
        <v>167.2</v>
      </c>
      <c r="I107" s="30">
        <v>30</v>
      </c>
      <c r="J107" s="30">
        <v>348</v>
      </c>
      <c r="K107" s="74">
        <v>3416.8</v>
      </c>
      <c r="L107" s="127">
        <v>0</v>
      </c>
      <c r="M107" s="30">
        <f t="shared" si="14"/>
        <v>19926983.567710795</v>
      </c>
      <c r="N107" s="30">
        <f t="shared" si="16"/>
        <v>18327986.305919606</v>
      </c>
      <c r="O107" s="49">
        <f t="shared" si="17"/>
        <v>802388.01194370165</v>
      </c>
      <c r="P107" s="48">
        <f t="shared" si="18"/>
        <v>4.1955815985961521E-2</v>
      </c>
      <c r="R107" s="1"/>
      <c r="S107" s="1"/>
      <c r="T107" s="1"/>
    </row>
    <row r="108" spans="1:38" x14ac:dyDescent="0.2">
      <c r="A108" s="2">
        <v>43739</v>
      </c>
      <c r="B108">
        <f t="shared" si="13"/>
        <v>2019</v>
      </c>
      <c r="C108">
        <f t="shared" si="15"/>
        <v>10</v>
      </c>
      <c r="D108" s="54">
        <v>17638446.88192771</v>
      </c>
      <c r="E108" s="54">
        <v>1598997.2617911876</v>
      </c>
      <c r="F108" s="54">
        <v>19237444.143718898</v>
      </c>
      <c r="G108" s="126">
        <v>26.599999999999998</v>
      </c>
      <c r="H108" s="126">
        <v>21.800000000000004</v>
      </c>
      <c r="I108" s="30">
        <v>31</v>
      </c>
      <c r="J108" s="30">
        <v>351</v>
      </c>
      <c r="K108" s="74">
        <v>3419.9</v>
      </c>
      <c r="L108" s="127">
        <v>0</v>
      </c>
      <c r="M108" s="30">
        <f t="shared" si="14"/>
        <v>19539217.982679702</v>
      </c>
      <c r="N108" s="30">
        <f t="shared" si="16"/>
        <v>17940220.720888514</v>
      </c>
      <c r="O108" s="49">
        <f t="shared" si="17"/>
        <v>301773.83896080405</v>
      </c>
      <c r="P108" s="48">
        <f t="shared" si="18"/>
        <v>1.5686794810491206E-2</v>
      </c>
      <c r="Q108" s="39"/>
      <c r="R108" s="1"/>
      <c r="S108" s="1"/>
      <c r="T108" s="1"/>
    </row>
    <row r="109" spans="1:38" x14ac:dyDescent="0.2">
      <c r="A109" s="2">
        <v>43770</v>
      </c>
      <c r="B109">
        <f t="shared" si="13"/>
        <v>2019</v>
      </c>
      <c r="C109">
        <f t="shared" si="15"/>
        <v>11</v>
      </c>
      <c r="D109" s="54">
        <v>18056629.359036144</v>
      </c>
      <c r="E109" s="54">
        <v>1598997.2617911876</v>
      </c>
      <c r="F109" s="54">
        <v>19655626.620827332</v>
      </c>
      <c r="G109" s="126">
        <v>273.3</v>
      </c>
      <c r="H109" s="126">
        <v>0</v>
      </c>
      <c r="I109" s="30">
        <v>30</v>
      </c>
      <c r="J109" s="30">
        <v>353</v>
      </c>
      <c r="K109" s="74">
        <v>3426.4</v>
      </c>
      <c r="L109" s="127">
        <v>0</v>
      </c>
      <c r="M109" s="30">
        <f t="shared" si="14"/>
        <v>20398111.595114909</v>
      </c>
      <c r="N109" s="30">
        <f t="shared" si="16"/>
        <v>18799114.333323721</v>
      </c>
      <c r="O109" s="49">
        <f t="shared" si="17"/>
        <v>742484.97428757697</v>
      </c>
      <c r="P109" s="48">
        <f t="shared" si="18"/>
        <v>3.7774678396710649E-2</v>
      </c>
      <c r="R109" s="1"/>
      <c r="S109" s="1"/>
      <c r="T109" s="1"/>
    </row>
    <row r="110" spans="1:38" x14ac:dyDescent="0.2">
      <c r="A110" s="2">
        <v>43800</v>
      </c>
      <c r="B110">
        <f t="shared" si="13"/>
        <v>2019</v>
      </c>
      <c r="C110">
        <f t="shared" si="15"/>
        <v>12</v>
      </c>
      <c r="D110" s="54">
        <v>19169682.92048192</v>
      </c>
      <c r="E110" s="54">
        <v>1598997.2617911876</v>
      </c>
      <c r="F110" s="54">
        <v>20768680.182273109</v>
      </c>
      <c r="G110" s="126">
        <v>334.4</v>
      </c>
      <c r="H110" s="126">
        <v>0</v>
      </c>
      <c r="I110" s="30">
        <v>31</v>
      </c>
      <c r="J110" s="30">
        <v>353</v>
      </c>
      <c r="K110" s="74">
        <v>3428.7</v>
      </c>
      <c r="L110" s="127">
        <v>0</v>
      </c>
      <c r="M110" s="30">
        <f t="shared" si="14"/>
        <v>21079158.858130857</v>
      </c>
      <c r="N110" s="30">
        <f t="shared" si="16"/>
        <v>19480161.596339669</v>
      </c>
      <c r="O110" s="49">
        <f t="shared" si="17"/>
        <v>310478.67585774884</v>
      </c>
      <c r="P110" s="48">
        <f t="shared" si="18"/>
        <v>1.4949369585976613E-2</v>
      </c>
      <c r="Q110" s="39"/>
      <c r="R110" s="1"/>
      <c r="S110" s="1"/>
      <c r="T110" s="1"/>
    </row>
    <row r="111" spans="1:38" x14ac:dyDescent="0.2">
      <c r="A111" s="2">
        <v>43831</v>
      </c>
      <c r="B111">
        <f t="shared" si="13"/>
        <v>2020</v>
      </c>
      <c r="C111">
        <f t="shared" si="15"/>
        <v>1</v>
      </c>
      <c r="D111" s="54">
        <v>20604412.97349399</v>
      </c>
      <c r="E111" s="54">
        <v>1636084.1636250485</v>
      </c>
      <c r="F111" s="54">
        <v>22240497.13711904</v>
      </c>
      <c r="G111" s="126">
        <v>357</v>
      </c>
      <c r="H111" s="126">
        <v>0</v>
      </c>
      <c r="I111" s="30">
        <v>31</v>
      </c>
      <c r="J111" s="30">
        <v>351</v>
      </c>
      <c r="K111" s="74">
        <v>3450.5</v>
      </c>
      <c r="L111" s="127">
        <v>0</v>
      </c>
      <c r="M111" s="30">
        <f t="shared" si="14"/>
        <v>21241342.455475733</v>
      </c>
      <c r="N111" s="30">
        <f t="shared" si="16"/>
        <v>19605258.291850686</v>
      </c>
      <c r="O111" s="49">
        <f t="shared" si="17"/>
        <v>-999154.68164330721</v>
      </c>
      <c r="P111" s="48">
        <f t="shared" si="18"/>
        <v>4.4925015636261736E-2</v>
      </c>
      <c r="Q111" s="39"/>
      <c r="AD111" s="37"/>
      <c r="AE111" s="37"/>
      <c r="AF111" s="37"/>
    </row>
    <row r="112" spans="1:38" x14ac:dyDescent="0.2">
      <c r="A112" s="2">
        <v>43862</v>
      </c>
      <c r="B112">
        <f t="shared" si="13"/>
        <v>2020</v>
      </c>
      <c r="C112">
        <f t="shared" si="15"/>
        <v>2</v>
      </c>
      <c r="D112" s="54">
        <v>18719034.313253012</v>
      </c>
      <c r="E112" s="54">
        <v>1636084.1636250485</v>
      </c>
      <c r="F112" s="54">
        <v>20355118.476878062</v>
      </c>
      <c r="G112" s="126">
        <v>379.79999999999995</v>
      </c>
      <c r="H112" s="126">
        <v>0</v>
      </c>
      <c r="I112" s="30">
        <v>29</v>
      </c>
      <c r="J112" s="30">
        <v>352</v>
      </c>
      <c r="K112" s="74">
        <v>3456.6</v>
      </c>
      <c r="L112" s="127">
        <v>0</v>
      </c>
      <c r="M112" s="30">
        <f t="shared" si="14"/>
        <v>20701773.545067482</v>
      </c>
      <c r="N112" s="30">
        <f t="shared" si="16"/>
        <v>19065689.381442435</v>
      </c>
      <c r="O112" s="49">
        <f t="shared" si="17"/>
        <v>346655.06818941981</v>
      </c>
      <c r="P112" s="48">
        <f t="shared" si="18"/>
        <v>1.7030363570872595E-2</v>
      </c>
      <c r="Q112" s="39"/>
    </row>
    <row r="113" spans="1:17" x14ac:dyDescent="0.2">
      <c r="A113" s="2">
        <v>43891</v>
      </c>
      <c r="B113">
        <f t="shared" si="13"/>
        <v>2020</v>
      </c>
      <c r="C113">
        <f t="shared" si="15"/>
        <v>3</v>
      </c>
      <c r="D113" s="54">
        <v>18127337.445783131</v>
      </c>
      <c r="E113" s="54">
        <v>1636084.1636250485</v>
      </c>
      <c r="F113" s="54">
        <v>19763421.609408177</v>
      </c>
      <c r="G113" s="126">
        <v>214.70000000000005</v>
      </c>
      <c r="H113" s="126">
        <v>0.5</v>
      </c>
      <c r="I113" s="30">
        <v>31</v>
      </c>
      <c r="J113" s="30">
        <v>352</v>
      </c>
      <c r="K113" s="74">
        <v>3387</v>
      </c>
      <c r="L113" s="127">
        <v>0.5</v>
      </c>
      <c r="M113" s="30">
        <f t="shared" si="14"/>
        <v>19585676.568900958</v>
      </c>
      <c r="N113" s="30">
        <f t="shared" si="16"/>
        <v>17949592.405275911</v>
      </c>
      <c r="O113" s="49">
        <f t="shared" si="17"/>
        <v>-177745.04050721973</v>
      </c>
      <c r="P113" s="48">
        <f t="shared" si="18"/>
        <v>8.9936370341158946E-3</v>
      </c>
      <c r="Q113" s="39"/>
    </row>
    <row r="114" spans="1:17" x14ac:dyDescent="0.2">
      <c r="A114" s="2">
        <v>43922</v>
      </c>
      <c r="B114">
        <f t="shared" si="13"/>
        <v>2020</v>
      </c>
      <c r="C114">
        <f t="shared" si="15"/>
        <v>4</v>
      </c>
      <c r="D114" s="54">
        <v>15453046.390361452</v>
      </c>
      <c r="E114" s="54">
        <v>1636084.1636250485</v>
      </c>
      <c r="F114" s="54">
        <v>17089130.553986501</v>
      </c>
      <c r="G114" s="126">
        <v>125.50000000000001</v>
      </c>
      <c r="H114" s="126">
        <v>0</v>
      </c>
      <c r="I114" s="30">
        <v>30</v>
      </c>
      <c r="J114" s="30">
        <v>351</v>
      </c>
      <c r="K114" s="74">
        <v>3205.9</v>
      </c>
      <c r="L114" s="127">
        <v>1</v>
      </c>
      <c r="M114" s="30">
        <f t="shared" si="14"/>
        <v>17302381.464593444</v>
      </c>
      <c r="N114" s="30">
        <f t="shared" si="16"/>
        <v>15666297.300968396</v>
      </c>
      <c r="O114" s="49">
        <f t="shared" si="17"/>
        <v>213250.91060694307</v>
      </c>
      <c r="P114" s="48">
        <f t="shared" si="18"/>
        <v>1.2478745477030517E-2</v>
      </c>
      <c r="Q114" s="39"/>
    </row>
    <row r="115" spans="1:17" x14ac:dyDescent="0.2">
      <c r="A115" s="2">
        <v>43952</v>
      </c>
      <c r="B115">
        <f t="shared" si="13"/>
        <v>2020</v>
      </c>
      <c r="C115">
        <f t="shared" si="15"/>
        <v>5</v>
      </c>
      <c r="D115" s="54">
        <v>15454141.214457823</v>
      </c>
      <c r="E115" s="54">
        <v>1636084.1636250485</v>
      </c>
      <c r="F115" s="54">
        <v>17090225.378082871</v>
      </c>
      <c r="G115" s="126">
        <v>57.5</v>
      </c>
      <c r="H115" s="126">
        <v>84.300000000000011</v>
      </c>
      <c r="I115" s="30">
        <v>31</v>
      </c>
      <c r="J115" s="30">
        <v>353</v>
      </c>
      <c r="K115" s="74">
        <v>3004.2</v>
      </c>
      <c r="L115" s="127">
        <v>1</v>
      </c>
      <c r="M115" s="30">
        <f t="shared" si="14"/>
        <v>17057821.081868097</v>
      </c>
      <c r="N115" s="30">
        <f t="shared" si="16"/>
        <v>15421736.918243049</v>
      </c>
      <c r="O115" s="49">
        <f t="shared" si="17"/>
        <v>-32404.296214774251</v>
      </c>
      <c r="P115" s="48">
        <f t="shared" si="18"/>
        <v>1.896071906478817E-3</v>
      </c>
      <c r="Q115" s="39"/>
    </row>
    <row r="116" spans="1:17" x14ac:dyDescent="0.2">
      <c r="A116" s="2">
        <v>43983</v>
      </c>
      <c r="B116">
        <f t="shared" si="13"/>
        <v>2020</v>
      </c>
      <c r="C116">
        <f t="shared" si="15"/>
        <v>6</v>
      </c>
      <c r="D116" s="54">
        <v>16762170.409638558</v>
      </c>
      <c r="E116" s="54">
        <v>1636084.1636250485</v>
      </c>
      <c r="F116" s="54">
        <v>18398254.573263608</v>
      </c>
      <c r="G116" s="126">
        <v>0</v>
      </c>
      <c r="H116" s="126">
        <v>253.90000000000003</v>
      </c>
      <c r="I116" s="30">
        <v>30</v>
      </c>
      <c r="J116" s="30">
        <v>349</v>
      </c>
      <c r="K116" s="74">
        <v>2937.8</v>
      </c>
      <c r="L116" s="127">
        <v>0.5</v>
      </c>
      <c r="M116" s="30">
        <f t="shared" si="14"/>
        <v>17829747.573958915</v>
      </c>
      <c r="N116" s="30">
        <f t="shared" si="16"/>
        <v>16193663.410333866</v>
      </c>
      <c r="O116" s="49">
        <f t="shared" si="17"/>
        <v>-568506.99930469319</v>
      </c>
      <c r="P116" s="48">
        <f t="shared" si="18"/>
        <v>3.0900050710834768E-2</v>
      </c>
      <c r="Q116" s="39"/>
    </row>
    <row r="117" spans="1:17" x14ac:dyDescent="0.2">
      <c r="A117" s="2">
        <v>44013</v>
      </c>
      <c r="B117">
        <f t="shared" si="13"/>
        <v>2020</v>
      </c>
      <c r="C117">
        <f t="shared" si="15"/>
        <v>7</v>
      </c>
      <c r="D117" s="54">
        <v>18797709.561445773</v>
      </c>
      <c r="E117" s="54">
        <v>1636084.1636250485</v>
      </c>
      <c r="F117" s="54">
        <v>20433793.725070819</v>
      </c>
      <c r="G117" s="126">
        <v>0</v>
      </c>
      <c r="H117" s="126">
        <v>401.70000000000005</v>
      </c>
      <c r="I117" s="30">
        <v>31</v>
      </c>
      <c r="J117" s="30">
        <v>351</v>
      </c>
      <c r="K117" s="74">
        <v>2995.2</v>
      </c>
      <c r="L117" s="127">
        <v>0.5</v>
      </c>
      <c r="M117" s="30">
        <f t="shared" si="14"/>
        <v>19452483.490544878</v>
      </c>
      <c r="N117" s="30">
        <f t="shared" si="16"/>
        <v>17816399.326919831</v>
      </c>
      <c r="O117" s="49">
        <f t="shared" si="17"/>
        <v>-981310.23452594131</v>
      </c>
      <c r="P117" s="48">
        <f t="shared" si="18"/>
        <v>4.8023888648828977E-2</v>
      </c>
      <c r="Q117" s="39"/>
    </row>
    <row r="118" spans="1:17" x14ac:dyDescent="0.2">
      <c r="A118" s="2">
        <v>44044</v>
      </c>
      <c r="B118">
        <f t="shared" si="13"/>
        <v>2020</v>
      </c>
      <c r="C118">
        <f t="shared" si="15"/>
        <v>8</v>
      </c>
      <c r="D118" s="54">
        <v>17872126.101204827</v>
      </c>
      <c r="E118" s="54">
        <v>1636084.1636250485</v>
      </c>
      <c r="F118" s="54">
        <v>19508210.264829874</v>
      </c>
      <c r="G118" s="126">
        <v>0</v>
      </c>
      <c r="H118" s="126">
        <v>311.89999999999998</v>
      </c>
      <c r="I118" s="30">
        <v>31</v>
      </c>
      <c r="J118" s="30">
        <v>353</v>
      </c>
      <c r="K118" s="74">
        <v>3117.5</v>
      </c>
      <c r="L118" s="127">
        <v>0.5</v>
      </c>
      <c r="M118" s="30">
        <f t="shared" si="14"/>
        <v>19420414.55592303</v>
      </c>
      <c r="N118" s="30">
        <f t="shared" si="16"/>
        <v>17784330.392297983</v>
      </c>
      <c r="O118" s="49">
        <f t="shared" si="17"/>
        <v>-87795.708906844258</v>
      </c>
      <c r="P118" s="48">
        <f t="shared" si="18"/>
        <v>4.5004491808828626E-3</v>
      </c>
      <c r="Q118" s="39"/>
    </row>
    <row r="119" spans="1:17" x14ac:dyDescent="0.2">
      <c r="A119" s="2">
        <v>44075</v>
      </c>
      <c r="B119">
        <f t="shared" si="13"/>
        <v>2020</v>
      </c>
      <c r="C119">
        <f t="shared" si="15"/>
        <v>9</v>
      </c>
      <c r="D119" s="54">
        <v>16777886.004819278</v>
      </c>
      <c r="E119" s="54">
        <v>1636084.1636250485</v>
      </c>
      <c r="F119" s="54">
        <v>18413970.168444328</v>
      </c>
      <c r="G119" s="126">
        <v>1.1999999999999993</v>
      </c>
      <c r="H119" s="126">
        <v>148.99999999999997</v>
      </c>
      <c r="I119" s="30">
        <v>30</v>
      </c>
      <c r="J119" s="30">
        <v>353</v>
      </c>
      <c r="K119" s="74">
        <v>3214</v>
      </c>
      <c r="L119" s="127">
        <v>0.5</v>
      </c>
      <c r="M119" s="30">
        <f t="shared" si="14"/>
        <v>18400260.680830084</v>
      </c>
      <c r="N119" s="30">
        <f t="shared" si="16"/>
        <v>16764176.517205035</v>
      </c>
      <c r="O119" s="49">
        <f t="shared" si="17"/>
        <v>-13709.487614244223</v>
      </c>
      <c r="P119" s="48">
        <f t="shared" si="18"/>
        <v>7.4451557642565922E-4</v>
      </c>
      <c r="Q119" s="39"/>
    </row>
    <row r="120" spans="1:17" x14ac:dyDescent="0.2">
      <c r="A120" s="2">
        <v>44105</v>
      </c>
      <c r="B120">
        <f t="shared" si="13"/>
        <v>2020</v>
      </c>
      <c r="C120">
        <f t="shared" si="15"/>
        <v>10</v>
      </c>
      <c r="D120" s="54">
        <v>16717313.840963854</v>
      </c>
      <c r="E120" s="54">
        <v>1636084.1636250485</v>
      </c>
      <c r="F120" s="54">
        <v>18353398.004588902</v>
      </c>
      <c r="G120" s="126">
        <v>60.7</v>
      </c>
      <c r="H120" s="126">
        <v>14.599999999999998</v>
      </c>
      <c r="I120" s="30">
        <v>31</v>
      </c>
      <c r="J120" s="30">
        <v>353</v>
      </c>
      <c r="K120" s="74">
        <v>3300.1</v>
      </c>
      <c r="L120" s="127">
        <v>0.5</v>
      </c>
      <c r="M120" s="30">
        <f t="shared" si="14"/>
        <v>18535654.169840325</v>
      </c>
      <c r="N120" s="30">
        <f t="shared" si="16"/>
        <v>16899570.006215274</v>
      </c>
      <c r="O120" s="49">
        <f t="shared" si="17"/>
        <v>182256.16525142267</v>
      </c>
      <c r="P120" s="48">
        <f t="shared" si="18"/>
        <v>9.9303772089426243E-3</v>
      </c>
      <c r="Q120" s="39"/>
    </row>
    <row r="121" spans="1:17" x14ac:dyDescent="0.2">
      <c r="A121" s="2">
        <v>44136</v>
      </c>
      <c r="B121">
        <f t="shared" si="13"/>
        <v>2020</v>
      </c>
      <c r="C121">
        <f t="shared" si="15"/>
        <v>11</v>
      </c>
      <c r="D121" s="54">
        <v>16714084.106024083</v>
      </c>
      <c r="E121" s="54">
        <v>1636084.1636250485</v>
      </c>
      <c r="F121" s="54">
        <v>18350168.269649133</v>
      </c>
      <c r="G121" s="126">
        <v>127.39999999999999</v>
      </c>
      <c r="H121" s="126">
        <v>16</v>
      </c>
      <c r="I121" s="30">
        <v>30</v>
      </c>
      <c r="J121" s="30">
        <v>357</v>
      </c>
      <c r="K121" s="74">
        <v>3351.5</v>
      </c>
      <c r="L121" s="127">
        <v>0.5</v>
      </c>
      <c r="M121" s="30">
        <f t="shared" si="14"/>
        <v>18849263.15289427</v>
      </c>
      <c r="N121" s="30">
        <f t="shared" si="16"/>
        <v>17213178.989269219</v>
      </c>
      <c r="O121" s="49">
        <f t="shared" si="17"/>
        <v>499094.88324513659</v>
      </c>
      <c r="P121" s="48">
        <f t="shared" si="18"/>
        <v>2.7198381830134552E-2</v>
      </c>
      <c r="Q121" s="39"/>
    </row>
    <row r="122" spans="1:17" x14ac:dyDescent="0.2">
      <c r="A122" s="2">
        <v>44166</v>
      </c>
      <c r="B122">
        <f t="shared" si="13"/>
        <v>2020</v>
      </c>
      <c r="C122">
        <f t="shared" si="15"/>
        <v>12</v>
      </c>
      <c r="D122" s="54">
        <v>17734017.175903622</v>
      </c>
      <c r="E122" s="54">
        <v>1636084.1636250485</v>
      </c>
      <c r="F122" s="54">
        <v>19370101.339528672</v>
      </c>
      <c r="G122" s="126">
        <v>319.30000000000007</v>
      </c>
      <c r="H122" s="126">
        <v>0</v>
      </c>
      <c r="I122" s="30">
        <v>31</v>
      </c>
      <c r="J122" s="30">
        <v>358</v>
      </c>
      <c r="K122" s="74">
        <v>3348.3</v>
      </c>
      <c r="L122" s="127">
        <v>0.5</v>
      </c>
      <c r="M122" s="30">
        <f t="shared" si="14"/>
        <v>20104635.472855743</v>
      </c>
      <c r="N122" s="30">
        <f t="shared" si="16"/>
        <v>18468551.309230693</v>
      </c>
      <c r="O122" s="49">
        <f t="shared" si="17"/>
        <v>734534.13332707062</v>
      </c>
      <c r="P122" s="48">
        <f t="shared" si="18"/>
        <v>3.7921026867737795E-2</v>
      </c>
      <c r="Q122" s="39"/>
    </row>
    <row r="123" spans="1:17" x14ac:dyDescent="0.2">
      <c r="A123" s="2">
        <v>44197</v>
      </c>
      <c r="B123">
        <f t="shared" si="13"/>
        <v>2021</v>
      </c>
      <c r="C123">
        <f t="shared" si="15"/>
        <v>1</v>
      </c>
      <c r="D123" s="54">
        <v>19055053.03132531</v>
      </c>
      <c r="E123" s="54">
        <v>1606787.8429761296</v>
      </c>
      <c r="F123" s="54">
        <v>20661840.874301441</v>
      </c>
      <c r="G123" s="126">
        <v>392</v>
      </c>
      <c r="H123" s="126">
        <v>0</v>
      </c>
      <c r="I123" s="30">
        <v>31</v>
      </c>
      <c r="J123" s="30">
        <v>359</v>
      </c>
      <c r="K123" s="74">
        <v>3310.5</v>
      </c>
      <c r="L123" s="127">
        <v>0.5</v>
      </c>
      <c r="M123" s="30">
        <f t="shared" si="14"/>
        <v>20346738.632619251</v>
      </c>
      <c r="N123" s="30">
        <f t="shared" si="16"/>
        <v>18739950.78964312</v>
      </c>
      <c r="O123" s="49">
        <f t="shared" si="17"/>
        <v>-315102.24168219045</v>
      </c>
      <c r="P123" s="48">
        <f t="shared" si="18"/>
        <v>1.5250443733409296E-2</v>
      </c>
    </row>
    <row r="124" spans="1:17" x14ac:dyDescent="0.2">
      <c r="A124" s="2">
        <v>44228</v>
      </c>
      <c r="B124">
        <f t="shared" si="13"/>
        <v>2021</v>
      </c>
      <c r="C124">
        <f t="shared" si="15"/>
        <v>2</v>
      </c>
      <c r="D124" s="54">
        <v>17768826.322891563</v>
      </c>
      <c r="E124" s="54">
        <v>1606787.8429761296</v>
      </c>
      <c r="F124" s="54">
        <v>19375614.165867694</v>
      </c>
      <c r="G124" s="126">
        <v>429.7</v>
      </c>
      <c r="H124" s="126">
        <v>0</v>
      </c>
      <c r="I124" s="30">
        <v>28</v>
      </c>
      <c r="J124" s="30">
        <v>359</v>
      </c>
      <c r="K124" s="74">
        <v>3272.2</v>
      </c>
      <c r="L124" s="127">
        <v>0.5</v>
      </c>
      <c r="M124" s="30">
        <f t="shared" si="14"/>
        <v>19319986.964773934</v>
      </c>
      <c r="N124" s="30">
        <f t="shared" si="16"/>
        <v>17713199.121797804</v>
      </c>
      <c r="O124" s="49">
        <f t="shared" si="17"/>
        <v>-55627.201093759388</v>
      </c>
      <c r="P124" s="48">
        <f t="shared" si="18"/>
        <v>2.8709903395863915E-3</v>
      </c>
    </row>
    <row r="125" spans="1:17" x14ac:dyDescent="0.2">
      <c r="A125" s="2">
        <v>44256</v>
      </c>
      <c r="B125">
        <f t="shared" si="13"/>
        <v>2021</v>
      </c>
      <c r="C125">
        <f t="shared" si="15"/>
        <v>3</v>
      </c>
      <c r="D125" s="54">
        <v>17829411.836144578</v>
      </c>
      <c r="E125" s="54">
        <v>1606787.8429761296</v>
      </c>
      <c r="F125" s="54">
        <v>19436199.679120708</v>
      </c>
      <c r="G125" s="126">
        <v>222.10000000000002</v>
      </c>
      <c r="H125" s="126">
        <v>3</v>
      </c>
      <c r="I125" s="30">
        <v>31</v>
      </c>
      <c r="J125" s="30">
        <v>359</v>
      </c>
      <c r="K125" s="74">
        <v>3271.6</v>
      </c>
      <c r="L125" s="127">
        <v>0.5</v>
      </c>
      <c r="M125" s="30">
        <f t="shared" si="14"/>
        <v>19319333.707526993</v>
      </c>
      <c r="N125" s="30">
        <f t="shared" si="16"/>
        <v>17712545.864550862</v>
      </c>
      <c r="O125" s="49">
        <f t="shared" si="17"/>
        <v>-116865.97159371525</v>
      </c>
      <c r="P125" s="48">
        <f t="shared" si="18"/>
        <v>6.0127994938875958E-3</v>
      </c>
    </row>
    <row r="126" spans="1:17" x14ac:dyDescent="0.2">
      <c r="A126" s="2">
        <v>44287</v>
      </c>
      <c r="B126">
        <f t="shared" si="13"/>
        <v>2021</v>
      </c>
      <c r="C126">
        <f t="shared" si="15"/>
        <v>4</v>
      </c>
      <c r="D126" s="54">
        <v>16123617.619277105</v>
      </c>
      <c r="E126" s="54">
        <v>1606787.8429761296</v>
      </c>
      <c r="F126" s="54">
        <v>17730405.462253235</v>
      </c>
      <c r="G126" s="126">
        <v>87.600000000000023</v>
      </c>
      <c r="H126" s="126">
        <v>11.9</v>
      </c>
      <c r="I126" s="30">
        <v>30</v>
      </c>
      <c r="J126" s="30">
        <v>359</v>
      </c>
      <c r="K126" s="74">
        <v>3276.5</v>
      </c>
      <c r="L126" s="127">
        <v>0.5</v>
      </c>
      <c r="M126" s="30">
        <f t="shared" si="14"/>
        <v>18346086.814601999</v>
      </c>
      <c r="N126" s="30">
        <f t="shared" si="16"/>
        <v>16739298.971625868</v>
      </c>
      <c r="O126" s="49">
        <f t="shared" si="17"/>
        <v>615681.3523487635</v>
      </c>
      <c r="P126" s="48">
        <f t="shared" si="18"/>
        <v>3.4724606476682386E-2</v>
      </c>
    </row>
    <row r="127" spans="1:17" x14ac:dyDescent="0.2">
      <c r="A127" s="2">
        <v>44317</v>
      </c>
      <c r="B127">
        <f t="shared" si="13"/>
        <v>2021</v>
      </c>
      <c r="C127">
        <f t="shared" si="15"/>
        <v>5</v>
      </c>
      <c r="D127" s="54">
        <v>16293057.002409624</v>
      </c>
      <c r="E127" s="54">
        <v>1606787.8429761296</v>
      </c>
      <c r="F127" s="54">
        <v>17899844.845385753</v>
      </c>
      <c r="G127" s="126">
        <v>25.399999999999995</v>
      </c>
      <c r="H127" s="126">
        <v>99.40000000000002</v>
      </c>
      <c r="I127" s="30">
        <v>31</v>
      </c>
      <c r="J127" s="30">
        <v>359</v>
      </c>
      <c r="K127" s="74">
        <v>3278.1</v>
      </c>
      <c r="L127" s="127">
        <v>0.5</v>
      </c>
      <c r="M127" s="30">
        <f t="shared" si="14"/>
        <v>18963181.38397019</v>
      </c>
      <c r="N127" s="30">
        <f t="shared" si="16"/>
        <v>17356393.540994059</v>
      </c>
      <c r="O127" s="49">
        <f t="shared" si="17"/>
        <v>1063336.5385844372</v>
      </c>
      <c r="P127" s="48">
        <f t="shared" si="18"/>
        <v>5.9404790810717312E-2</v>
      </c>
    </row>
    <row r="128" spans="1:17" x14ac:dyDescent="0.2">
      <c r="A128" s="2">
        <v>44348</v>
      </c>
      <c r="B128">
        <f t="shared" ref="B128:B134" si="19">YEAR(A128)</f>
        <v>2021</v>
      </c>
      <c r="C128">
        <f t="shared" ref="C128:C134" si="20">MONTH(A128)</f>
        <v>6</v>
      </c>
      <c r="D128" s="54">
        <v>17880539.209638555</v>
      </c>
      <c r="E128" s="54">
        <v>1606787.8429761296</v>
      </c>
      <c r="F128" s="54">
        <v>19487327.052614685</v>
      </c>
      <c r="G128" s="126">
        <v>0</v>
      </c>
      <c r="H128" s="126">
        <v>295.00000000000006</v>
      </c>
      <c r="I128" s="30">
        <v>30</v>
      </c>
      <c r="J128" s="30">
        <v>360</v>
      </c>
      <c r="K128" s="74">
        <v>3288.5</v>
      </c>
      <c r="L128" s="127">
        <v>0.5</v>
      </c>
      <c r="M128" s="30">
        <f t="shared" ref="M128:M134" si="21">$R$19+G128*$R$20+H128*$R$21+I128*$R$22+J128*$R$23+K128*$R$24+L128*$R$25</f>
        <v>19841371.357616376</v>
      </c>
      <c r="N128" s="30">
        <f t="shared" ref="N128:N134" si="22">M128-E128</f>
        <v>18234583.514640246</v>
      </c>
      <c r="O128" s="49">
        <f t="shared" ref="O128:O134" si="23">+M128-F128</f>
        <v>354044.30500169098</v>
      </c>
      <c r="P128" s="48">
        <f t="shared" ref="P128:P134" si="24">ABS(O128/F128)</f>
        <v>1.8167925444356289E-2</v>
      </c>
    </row>
    <row r="129" spans="1:17" x14ac:dyDescent="0.2">
      <c r="A129" s="2">
        <v>44378</v>
      </c>
      <c r="B129">
        <f t="shared" si="19"/>
        <v>2021</v>
      </c>
      <c r="C129">
        <f t="shared" si="20"/>
        <v>7</v>
      </c>
      <c r="D129" s="54">
        <v>18099821.706024084</v>
      </c>
      <c r="E129" s="54">
        <v>1606787.8429761296</v>
      </c>
      <c r="F129" s="54">
        <v>19706609.549000215</v>
      </c>
      <c r="G129" s="126">
        <v>0</v>
      </c>
      <c r="H129" s="126">
        <v>290.3</v>
      </c>
      <c r="I129" s="30">
        <v>31</v>
      </c>
      <c r="J129" s="30">
        <v>360</v>
      </c>
      <c r="K129" s="74">
        <v>3332.9</v>
      </c>
      <c r="L129" s="127">
        <v>0.5</v>
      </c>
      <c r="M129" s="30">
        <f t="shared" si="21"/>
        <v>20351230.132738624</v>
      </c>
      <c r="N129" s="30">
        <f t="shared" si="22"/>
        <v>18744442.289762493</v>
      </c>
      <c r="O129" s="49">
        <f t="shared" si="23"/>
        <v>644620.58373840898</v>
      </c>
      <c r="P129" s="48">
        <f t="shared" si="24"/>
        <v>3.2710882211146909E-2</v>
      </c>
    </row>
    <row r="130" spans="1:17" x14ac:dyDescent="0.2">
      <c r="A130" s="2">
        <v>44409</v>
      </c>
      <c r="B130">
        <f t="shared" si="19"/>
        <v>2021</v>
      </c>
      <c r="C130">
        <f t="shared" si="20"/>
        <v>8</v>
      </c>
      <c r="D130" s="54">
        <v>19993946.689156614</v>
      </c>
      <c r="E130" s="54">
        <v>1606787.8429761296</v>
      </c>
      <c r="F130" s="54">
        <v>21600734.532132745</v>
      </c>
      <c r="G130" s="126">
        <v>0</v>
      </c>
      <c r="H130" s="126">
        <v>365.40000000000003</v>
      </c>
      <c r="I130" s="30">
        <v>31</v>
      </c>
      <c r="J130" s="30">
        <v>331</v>
      </c>
      <c r="K130" s="74">
        <v>3403.5</v>
      </c>
      <c r="L130" s="127">
        <v>0.5</v>
      </c>
      <c r="M130" s="30">
        <f t="shared" si="21"/>
        <v>20461601.17180844</v>
      </c>
      <c r="N130" s="30">
        <f t="shared" si="22"/>
        <v>18854813.32883231</v>
      </c>
      <c r="O130" s="49">
        <f t="shared" si="23"/>
        <v>-1139133.3603243046</v>
      </c>
      <c r="P130" s="48">
        <f t="shared" si="24"/>
        <v>5.2735862228655075E-2</v>
      </c>
    </row>
    <row r="131" spans="1:17" x14ac:dyDescent="0.2">
      <c r="A131" s="2">
        <v>44440</v>
      </c>
      <c r="B131">
        <f t="shared" si="19"/>
        <v>2021</v>
      </c>
      <c r="C131">
        <f t="shared" si="20"/>
        <v>9</v>
      </c>
      <c r="D131" s="54">
        <v>17725189.908433735</v>
      </c>
      <c r="E131" s="54">
        <v>1606787.8429761296</v>
      </c>
      <c r="F131" s="54">
        <v>19331977.751409866</v>
      </c>
      <c r="G131" s="126">
        <v>0</v>
      </c>
      <c r="H131" s="126">
        <v>169.29999999999998</v>
      </c>
      <c r="I131" s="30">
        <v>30</v>
      </c>
      <c r="J131" s="30">
        <v>320</v>
      </c>
      <c r="K131" s="74">
        <v>3457.1</v>
      </c>
      <c r="L131" s="127">
        <v>0.5</v>
      </c>
      <c r="M131" s="30">
        <f t="shared" si="21"/>
        <v>18774293.773751024</v>
      </c>
      <c r="N131" s="30">
        <f t="shared" si="22"/>
        <v>17167505.930774894</v>
      </c>
      <c r="O131" s="49">
        <f t="shared" si="23"/>
        <v>-557683.97765884176</v>
      </c>
      <c r="P131" s="48">
        <f t="shared" si="24"/>
        <v>2.8847745679728518E-2</v>
      </c>
    </row>
    <row r="132" spans="1:17" x14ac:dyDescent="0.2">
      <c r="A132" s="2">
        <v>44470</v>
      </c>
      <c r="B132">
        <f t="shared" si="19"/>
        <v>2021</v>
      </c>
      <c r="C132">
        <f t="shared" si="20"/>
        <v>10</v>
      </c>
      <c r="D132" s="54">
        <v>17543608.713253014</v>
      </c>
      <c r="E132" s="54">
        <v>1606787.8429761296</v>
      </c>
      <c r="F132" s="54">
        <v>19150396.556229144</v>
      </c>
      <c r="G132" s="126">
        <v>20.499999999999996</v>
      </c>
      <c r="H132" s="126">
        <v>86.499999999999986</v>
      </c>
      <c r="I132" s="30">
        <v>31</v>
      </c>
      <c r="J132" s="30">
        <v>320</v>
      </c>
      <c r="K132" s="74">
        <v>3499.8</v>
      </c>
      <c r="L132" s="127">
        <v>0.5</v>
      </c>
      <c r="M132" s="30">
        <f t="shared" si="21"/>
        <v>18865893.325243145</v>
      </c>
      <c r="N132" s="30">
        <f t="shared" si="22"/>
        <v>17259105.482267015</v>
      </c>
      <c r="O132" s="49">
        <f t="shared" si="23"/>
        <v>-284503.23098599911</v>
      </c>
      <c r="P132" s="48">
        <f t="shared" si="24"/>
        <v>1.4856257944875681E-2</v>
      </c>
    </row>
    <row r="133" spans="1:17" x14ac:dyDescent="0.2">
      <c r="A133" s="2">
        <v>44501</v>
      </c>
      <c r="B133">
        <f t="shared" si="19"/>
        <v>2021</v>
      </c>
      <c r="C133">
        <f t="shared" si="20"/>
        <v>11</v>
      </c>
      <c r="D133" s="54">
        <v>17668488.221686747</v>
      </c>
      <c r="E133" s="54">
        <v>1606787.8429761296</v>
      </c>
      <c r="F133" s="54">
        <v>19275276.064662877</v>
      </c>
      <c r="G133" s="126">
        <v>175.30000000000004</v>
      </c>
      <c r="H133" s="126">
        <v>0</v>
      </c>
      <c r="I133" s="30">
        <v>30</v>
      </c>
      <c r="J133" s="30">
        <v>322</v>
      </c>
      <c r="K133" s="74">
        <v>3513.1</v>
      </c>
      <c r="L133" s="127">
        <v>0.5</v>
      </c>
      <c r="M133" s="30">
        <f t="shared" si="21"/>
        <v>18846901.678185664</v>
      </c>
      <c r="N133" s="30">
        <f t="shared" si="22"/>
        <v>17240113.835209534</v>
      </c>
      <c r="O133" s="49">
        <f t="shared" si="23"/>
        <v>-428374.38647721335</v>
      </c>
      <c r="P133" s="48">
        <f t="shared" si="24"/>
        <v>2.2224033785048961E-2</v>
      </c>
    </row>
    <row r="134" spans="1:17" x14ac:dyDescent="0.2">
      <c r="A134" s="2">
        <v>44531</v>
      </c>
      <c r="B134">
        <f t="shared" si="19"/>
        <v>2021</v>
      </c>
      <c r="C134">
        <f t="shared" si="20"/>
        <v>12</v>
      </c>
      <c r="D134" s="54">
        <v>18227991.315662645</v>
      </c>
      <c r="E134" s="54">
        <v>1606787.8429761296</v>
      </c>
      <c r="F134" s="54">
        <v>19834779.158638775</v>
      </c>
      <c r="G134" s="126">
        <v>257.8</v>
      </c>
      <c r="H134" s="126">
        <v>0</v>
      </c>
      <c r="I134" s="30">
        <v>31</v>
      </c>
      <c r="J134" s="30">
        <v>327</v>
      </c>
      <c r="K134" s="74">
        <v>3539.2</v>
      </c>
      <c r="L134" s="127">
        <v>0.5</v>
      </c>
      <c r="M134" s="30">
        <f t="shared" si="21"/>
        <v>19857724.123378262</v>
      </c>
      <c r="N134" s="30">
        <f t="shared" si="22"/>
        <v>18250936.280402131</v>
      </c>
      <c r="O134" s="49">
        <f t="shared" si="23"/>
        <v>22944.964739486575</v>
      </c>
      <c r="P134" s="48">
        <f t="shared" si="24"/>
        <v>1.1568046488429492E-3</v>
      </c>
      <c r="Q134" s="27" t="s">
        <v>11</v>
      </c>
    </row>
    <row r="135" spans="1:17" x14ac:dyDescent="0.2">
      <c r="A135" s="2">
        <v>44562</v>
      </c>
      <c r="B135">
        <f t="shared" ref="B135:B158" si="25">YEAR(A135)</f>
        <v>2022</v>
      </c>
      <c r="C135">
        <f t="shared" ref="C135:C158" si="26">MONTH(A135)</f>
        <v>1</v>
      </c>
      <c r="D135" s="54"/>
      <c r="E135" s="54">
        <v>1526282.737907975</v>
      </c>
      <c r="G135" s="53">
        <v>439.5</v>
      </c>
      <c r="H135" s="53">
        <v>0</v>
      </c>
      <c r="I135" s="30">
        <f t="shared" ref="I135:I158" si="27">I87</f>
        <v>31</v>
      </c>
      <c r="J135" s="93">
        <f>'Rate Class Customer Model'!H60</f>
        <v>327.89165950580741</v>
      </c>
      <c r="K135" s="49">
        <v>3428.0227500000001</v>
      </c>
      <c r="L135" s="99">
        <f>Q135*0.5</f>
        <v>0.375</v>
      </c>
      <c r="M135" s="30">
        <f t="shared" ref="M135:M157" si="28">$R$19+G135*$R$20+H135*$R$21+I135*$R$22+J135*$R$23+K135*$R$24+L135*$R$25</f>
        <v>20523130.444931772</v>
      </c>
      <c r="N135" s="30">
        <f t="shared" ref="N135:N158" si="29">M135-E135</f>
        <v>18996847.707023796</v>
      </c>
      <c r="O135" s="49"/>
      <c r="P135" s="48"/>
      <c r="Q135">
        <f>'GS &lt; 50 kW'!Q135</f>
        <v>0.75</v>
      </c>
    </row>
    <row r="136" spans="1:17" x14ac:dyDescent="0.2">
      <c r="A136" s="2">
        <v>44593</v>
      </c>
      <c r="B136">
        <f t="shared" si="25"/>
        <v>2022</v>
      </c>
      <c r="C136">
        <f t="shared" si="26"/>
        <v>2</v>
      </c>
      <c r="D136" s="54"/>
      <c r="E136" s="54">
        <f>E135</f>
        <v>1526282.737907975</v>
      </c>
      <c r="G136" s="53">
        <v>403.5</v>
      </c>
      <c r="H136" s="53">
        <v>0</v>
      </c>
      <c r="I136" s="30">
        <f t="shared" si="27"/>
        <v>28</v>
      </c>
      <c r="J136" s="93">
        <f>'Rate Class Customer Model'!H61</f>
        <v>328.78575037759128</v>
      </c>
      <c r="K136" s="49">
        <v>3388.3631</v>
      </c>
      <c r="L136" s="99">
        <f t="shared" ref="L136:L158" si="30">Q136*0.5</f>
        <v>0.375</v>
      </c>
      <c r="M136" s="30">
        <f t="shared" si="28"/>
        <v>19128648.862862557</v>
      </c>
      <c r="N136" s="30">
        <f t="shared" si="29"/>
        <v>17602366.124954581</v>
      </c>
      <c r="O136" s="49"/>
      <c r="P136" s="48"/>
      <c r="Q136">
        <f>Q135</f>
        <v>0.75</v>
      </c>
    </row>
    <row r="137" spans="1:17" x14ac:dyDescent="0.2">
      <c r="A137" s="2">
        <v>44621</v>
      </c>
      <c r="B137">
        <f t="shared" si="25"/>
        <v>2022</v>
      </c>
      <c r="C137">
        <f t="shared" si="26"/>
        <v>3</v>
      </c>
      <c r="D137" s="54"/>
      <c r="E137" s="54">
        <f t="shared" ref="E137:E146" si="31">E136</f>
        <v>1526282.737907975</v>
      </c>
      <c r="G137" s="53">
        <v>291.06</v>
      </c>
      <c r="H137" s="53">
        <v>2.8099999999999996</v>
      </c>
      <c r="I137" s="30">
        <f t="shared" si="27"/>
        <v>31</v>
      </c>
      <c r="J137" s="93">
        <f>'Rate Class Customer Model'!H62</f>
        <v>329.68227924516987</v>
      </c>
      <c r="K137" s="49">
        <v>3387.7418000000002</v>
      </c>
      <c r="L137" s="99">
        <f t="shared" si="30"/>
        <v>0.375</v>
      </c>
      <c r="M137" s="30">
        <f t="shared" si="28"/>
        <v>19642506.250405632</v>
      </c>
      <c r="N137" s="30">
        <f t="shared" si="29"/>
        <v>18116223.512497656</v>
      </c>
      <c r="O137" s="49"/>
      <c r="P137" s="48"/>
      <c r="Q137">
        <f t="shared" ref="Q137:Q158" si="32">Q136</f>
        <v>0.75</v>
      </c>
    </row>
    <row r="138" spans="1:17" x14ac:dyDescent="0.2">
      <c r="A138" s="2">
        <v>44652</v>
      </c>
      <c r="B138">
        <f t="shared" si="25"/>
        <v>2022</v>
      </c>
      <c r="C138">
        <f t="shared" si="26"/>
        <v>4</v>
      </c>
      <c r="D138" s="54"/>
      <c r="E138" s="54">
        <f t="shared" si="31"/>
        <v>1526282.737907975</v>
      </c>
      <c r="G138" s="53">
        <v>120.71999999999998</v>
      </c>
      <c r="H138" s="53">
        <v>6.58</v>
      </c>
      <c r="I138" s="30">
        <f t="shared" si="27"/>
        <v>30</v>
      </c>
      <c r="J138" s="93">
        <f>'Rate Class Customer Model'!H63</f>
        <v>330.5812527564396</v>
      </c>
      <c r="K138" s="49">
        <v>3392.8157500000002</v>
      </c>
      <c r="L138" s="99">
        <f t="shared" si="30"/>
        <v>0.375</v>
      </c>
      <c r="M138" s="30">
        <f t="shared" si="28"/>
        <v>18470921.912562463</v>
      </c>
      <c r="N138" s="30">
        <f t="shared" si="29"/>
        <v>16944639.174654488</v>
      </c>
      <c r="O138" s="49"/>
      <c r="P138" s="48"/>
      <c r="Q138">
        <f t="shared" si="32"/>
        <v>0.75</v>
      </c>
    </row>
    <row r="139" spans="1:17" x14ac:dyDescent="0.2">
      <c r="A139" s="2">
        <v>44682</v>
      </c>
      <c r="B139">
        <f t="shared" si="25"/>
        <v>2022</v>
      </c>
      <c r="C139">
        <f t="shared" si="26"/>
        <v>5</v>
      </c>
      <c r="D139" s="54"/>
      <c r="E139" s="54">
        <f t="shared" si="31"/>
        <v>1526282.737907975</v>
      </c>
      <c r="G139" s="53">
        <v>16.330000000000002</v>
      </c>
      <c r="H139" s="53">
        <v>107.25</v>
      </c>
      <c r="I139" s="30">
        <f t="shared" si="27"/>
        <v>31</v>
      </c>
      <c r="J139" s="93">
        <f>'Rate Class Customer Model'!H64</f>
        <v>331.48267757742428</v>
      </c>
      <c r="K139" s="49">
        <v>3394.4725500000004</v>
      </c>
      <c r="L139" s="99">
        <f t="shared" si="30"/>
        <v>0.375</v>
      </c>
      <c r="M139" s="30">
        <f t="shared" si="28"/>
        <v>18977527.459236871</v>
      </c>
      <c r="N139" s="30">
        <f t="shared" si="29"/>
        <v>17451244.721328896</v>
      </c>
      <c r="O139" s="49"/>
      <c r="P139" s="48"/>
      <c r="Q139">
        <f t="shared" si="32"/>
        <v>0.75</v>
      </c>
    </row>
    <row r="140" spans="1:17" x14ac:dyDescent="0.2">
      <c r="A140" s="2">
        <v>44713</v>
      </c>
      <c r="B140">
        <f t="shared" si="25"/>
        <v>2022</v>
      </c>
      <c r="C140">
        <f t="shared" si="26"/>
        <v>6</v>
      </c>
      <c r="D140" s="54"/>
      <c r="E140" s="54">
        <f t="shared" si="31"/>
        <v>1526282.737907975</v>
      </c>
      <c r="G140" s="53">
        <v>0</v>
      </c>
      <c r="H140" s="53">
        <v>230.10000000000005</v>
      </c>
      <c r="I140" s="30">
        <f t="shared" si="27"/>
        <v>30</v>
      </c>
      <c r="J140" s="93">
        <f>'Rate Class Customer Model'!H65</f>
        <v>332.38656039232461</v>
      </c>
      <c r="K140" s="49">
        <v>3405.2417500000001</v>
      </c>
      <c r="L140" s="99">
        <f t="shared" si="30"/>
        <v>0.375</v>
      </c>
      <c r="M140" s="30">
        <f t="shared" si="28"/>
        <v>19419958.36210816</v>
      </c>
      <c r="N140" s="30">
        <f t="shared" si="29"/>
        <v>17893675.624200184</v>
      </c>
      <c r="O140" s="49"/>
      <c r="P140" s="48"/>
      <c r="Q140">
        <f t="shared" si="32"/>
        <v>0.75</v>
      </c>
    </row>
    <row r="141" spans="1:17" x14ac:dyDescent="0.2">
      <c r="A141" s="2">
        <v>44743</v>
      </c>
      <c r="B141">
        <f t="shared" si="25"/>
        <v>2022</v>
      </c>
      <c r="C141">
        <f t="shared" si="26"/>
        <v>7</v>
      </c>
      <c r="D141" s="54"/>
      <c r="E141" s="54">
        <f t="shared" si="31"/>
        <v>1526282.737907975</v>
      </c>
      <c r="G141" s="53">
        <v>0</v>
      </c>
      <c r="H141" s="53">
        <v>331.41</v>
      </c>
      <c r="I141" s="30">
        <f t="shared" si="27"/>
        <v>31</v>
      </c>
      <c r="J141" s="93">
        <f>'Rate Class Customer Model'!H66</f>
        <v>333.29290790356754</v>
      </c>
      <c r="K141" s="49">
        <v>3451.2179500000002</v>
      </c>
      <c r="L141" s="99">
        <f t="shared" si="30"/>
        <v>0.375</v>
      </c>
      <c r="M141" s="30">
        <f t="shared" si="28"/>
        <v>20660525.996076196</v>
      </c>
      <c r="N141" s="30">
        <f t="shared" si="29"/>
        <v>19134243.258168221</v>
      </c>
      <c r="O141" s="49"/>
      <c r="P141" s="48"/>
      <c r="Q141">
        <f t="shared" si="32"/>
        <v>0.75</v>
      </c>
    </row>
    <row r="142" spans="1:17" x14ac:dyDescent="0.2">
      <c r="A142" s="2">
        <v>44774</v>
      </c>
      <c r="B142">
        <f t="shared" si="25"/>
        <v>2022</v>
      </c>
      <c r="C142">
        <f t="shared" si="26"/>
        <v>8</v>
      </c>
      <c r="D142" s="54"/>
      <c r="E142" s="54">
        <f t="shared" si="31"/>
        <v>1526282.737907975</v>
      </c>
      <c r="G142" s="53">
        <v>0</v>
      </c>
      <c r="H142" s="53">
        <v>304.46000000000004</v>
      </c>
      <c r="I142" s="30">
        <f t="shared" si="27"/>
        <v>31</v>
      </c>
      <c r="J142" s="93">
        <f>'Rate Class Customer Model'!H67</f>
        <v>334.20172683185626</v>
      </c>
      <c r="K142" s="49">
        <v>3524.3242500000001</v>
      </c>
      <c r="L142" s="99">
        <f t="shared" si="30"/>
        <v>0.375</v>
      </c>
      <c r="M142" s="30">
        <f t="shared" si="28"/>
        <v>20811745.071974628</v>
      </c>
      <c r="N142" s="30">
        <f t="shared" si="29"/>
        <v>19285462.334066652</v>
      </c>
      <c r="O142" s="49"/>
      <c r="P142" s="48"/>
      <c r="Q142">
        <f t="shared" si="32"/>
        <v>0.75</v>
      </c>
    </row>
    <row r="143" spans="1:17" x14ac:dyDescent="0.2">
      <c r="A143" s="2">
        <v>44805</v>
      </c>
      <c r="B143">
        <f t="shared" si="25"/>
        <v>2022</v>
      </c>
      <c r="C143">
        <f t="shared" si="26"/>
        <v>9</v>
      </c>
      <c r="D143" s="54"/>
      <c r="E143" s="54">
        <f t="shared" si="31"/>
        <v>1526282.737907975</v>
      </c>
      <c r="G143" s="53">
        <v>0.24999999999999983</v>
      </c>
      <c r="H143" s="53">
        <v>176.51</v>
      </c>
      <c r="I143" s="30">
        <f t="shared" si="27"/>
        <v>30</v>
      </c>
      <c r="J143" s="93">
        <f>'Rate Class Customer Model'!H68</f>
        <v>335.11302391621979</v>
      </c>
      <c r="K143" s="49">
        <v>3579.8270500000003</v>
      </c>
      <c r="L143" s="99">
        <f t="shared" si="30"/>
        <v>0.375</v>
      </c>
      <c r="M143" s="30">
        <f t="shared" si="28"/>
        <v>19866904.483262584</v>
      </c>
      <c r="N143" s="30">
        <f t="shared" si="29"/>
        <v>18340621.745354608</v>
      </c>
      <c r="O143" s="49"/>
      <c r="P143" s="48"/>
      <c r="Q143">
        <f t="shared" si="32"/>
        <v>0.75</v>
      </c>
    </row>
    <row r="144" spans="1:17" x14ac:dyDescent="0.2">
      <c r="A144" s="2">
        <v>44835</v>
      </c>
      <c r="B144">
        <f t="shared" si="25"/>
        <v>2022</v>
      </c>
      <c r="C144">
        <f t="shared" si="26"/>
        <v>10</v>
      </c>
      <c r="D144" s="54"/>
      <c r="E144" s="54">
        <f t="shared" si="31"/>
        <v>1526282.737907975</v>
      </c>
      <c r="G144" s="53">
        <v>44.309999999999995</v>
      </c>
      <c r="H144" s="53">
        <v>43.36</v>
      </c>
      <c r="I144" s="30">
        <f t="shared" si="27"/>
        <v>31</v>
      </c>
      <c r="J144" s="93">
        <f>'Rate Class Customer Model'!H69</f>
        <v>336.02680591406312</v>
      </c>
      <c r="K144" s="49">
        <v>3624.0429000000004</v>
      </c>
      <c r="L144" s="99">
        <f t="shared" si="30"/>
        <v>0.375</v>
      </c>
      <c r="M144" s="30">
        <f t="shared" si="28"/>
        <v>19775237.159224574</v>
      </c>
      <c r="N144" s="30">
        <f t="shared" si="29"/>
        <v>18248954.421316598</v>
      </c>
      <c r="O144" s="49"/>
      <c r="P144" s="48"/>
      <c r="Q144">
        <f t="shared" si="32"/>
        <v>0.75</v>
      </c>
    </row>
    <row r="145" spans="1:17" x14ac:dyDescent="0.2">
      <c r="A145" s="2">
        <v>44866</v>
      </c>
      <c r="B145">
        <f t="shared" si="25"/>
        <v>2022</v>
      </c>
      <c r="C145">
        <f t="shared" si="26"/>
        <v>11</v>
      </c>
      <c r="D145" s="54"/>
      <c r="E145" s="54">
        <f t="shared" si="31"/>
        <v>1526282.737907975</v>
      </c>
      <c r="G145" s="53">
        <v>193.95999999999998</v>
      </c>
      <c r="H145" s="53">
        <v>2.7399999999999998</v>
      </c>
      <c r="I145" s="30">
        <f t="shared" si="27"/>
        <v>30</v>
      </c>
      <c r="J145" s="93">
        <f>'Rate Class Customer Model'!H70</f>
        <v>336.94307960121716</v>
      </c>
      <c r="K145" s="49">
        <v>3637.8150500000002</v>
      </c>
      <c r="L145" s="99">
        <f t="shared" si="30"/>
        <v>0.375</v>
      </c>
      <c r="M145" s="30">
        <f t="shared" si="28"/>
        <v>20009957.071511749</v>
      </c>
      <c r="N145" s="30">
        <f t="shared" si="29"/>
        <v>18483674.333603773</v>
      </c>
      <c r="O145" s="49"/>
      <c r="P145" s="48"/>
      <c r="Q145">
        <f t="shared" si="32"/>
        <v>0.75</v>
      </c>
    </row>
    <row r="146" spans="1:17" x14ac:dyDescent="0.2">
      <c r="A146" s="2">
        <v>44896</v>
      </c>
      <c r="B146">
        <f t="shared" si="25"/>
        <v>2022</v>
      </c>
      <c r="C146">
        <f t="shared" si="26"/>
        <v>12</v>
      </c>
      <c r="D146" s="54"/>
      <c r="E146" s="54">
        <f t="shared" si="31"/>
        <v>1526282.737907975</v>
      </c>
      <c r="G146" s="53">
        <v>327.48000000000008</v>
      </c>
      <c r="H146" s="53">
        <v>0</v>
      </c>
      <c r="I146" s="30">
        <f t="shared" si="27"/>
        <v>31</v>
      </c>
      <c r="J146" s="93">
        <f>'Rate Class Customer Model'!H71</f>
        <v>337.86185177198917</v>
      </c>
      <c r="K146" s="49">
        <v>3664.8416000000002</v>
      </c>
      <c r="L146" s="99">
        <f t="shared" si="30"/>
        <v>0.375</v>
      </c>
      <c r="M146" s="30">
        <f t="shared" si="28"/>
        <v>21175318.031082578</v>
      </c>
      <c r="N146" s="30">
        <f t="shared" si="29"/>
        <v>19649035.293174602</v>
      </c>
      <c r="O146" s="49"/>
      <c r="P146" s="48"/>
      <c r="Q146">
        <f t="shared" si="32"/>
        <v>0.75</v>
      </c>
    </row>
    <row r="147" spans="1:17" x14ac:dyDescent="0.2">
      <c r="A147" s="2">
        <v>44927</v>
      </c>
      <c r="B147">
        <f t="shared" si="25"/>
        <v>2023</v>
      </c>
      <c r="C147">
        <f t="shared" si="26"/>
        <v>1</v>
      </c>
      <c r="D147" s="54"/>
      <c r="E147" s="54">
        <v>1436531.919145507</v>
      </c>
      <c r="G147" s="53">
        <f t="shared" ref="G147:H158" si="33">G135</f>
        <v>439.5</v>
      </c>
      <c r="H147" s="53">
        <f t="shared" si="33"/>
        <v>0</v>
      </c>
      <c r="I147" s="30">
        <f t="shared" si="27"/>
        <v>31</v>
      </c>
      <c r="J147" s="93">
        <f>'Rate Class Customer Model'!H72</f>
        <v>338.783129239213</v>
      </c>
      <c r="K147" s="49">
        <v>3489.7271595000002</v>
      </c>
      <c r="L147" s="99">
        <f t="shared" si="30"/>
        <v>0.25</v>
      </c>
      <c r="M147" s="30">
        <f t="shared" si="28"/>
        <v>21209505.060318287</v>
      </c>
      <c r="N147" s="30">
        <f t="shared" si="29"/>
        <v>19772973.141172782</v>
      </c>
      <c r="O147" s="49"/>
      <c r="P147" s="48"/>
      <c r="Q147">
        <f>'GS &lt; 50 kW'!Q147</f>
        <v>0.5</v>
      </c>
    </row>
    <row r="148" spans="1:17" x14ac:dyDescent="0.2">
      <c r="A148" s="2">
        <v>44958</v>
      </c>
      <c r="B148">
        <f t="shared" si="25"/>
        <v>2023</v>
      </c>
      <c r="C148">
        <f t="shared" si="26"/>
        <v>2</v>
      </c>
      <c r="D148" s="54"/>
      <c r="E148" s="54">
        <f>E147</f>
        <v>1436531.919145507</v>
      </c>
      <c r="G148" s="53">
        <f t="shared" si="33"/>
        <v>403.5</v>
      </c>
      <c r="H148" s="53">
        <f t="shared" si="33"/>
        <v>0</v>
      </c>
      <c r="I148" s="30">
        <f t="shared" si="27"/>
        <v>28</v>
      </c>
      <c r="J148" s="93">
        <f>'Rate Class Customer Model'!H73</f>
        <v>339.70691883429964</v>
      </c>
      <c r="K148" s="49">
        <v>3449.3536358000001</v>
      </c>
      <c r="L148" s="99">
        <f t="shared" si="30"/>
        <v>0.25</v>
      </c>
      <c r="M148" s="30">
        <f t="shared" si="28"/>
        <v>19812713.962691318</v>
      </c>
      <c r="N148" s="30">
        <f t="shared" si="29"/>
        <v>18376182.043545812</v>
      </c>
      <c r="O148" s="49"/>
      <c r="P148" s="48"/>
      <c r="Q148">
        <f t="shared" si="32"/>
        <v>0.5</v>
      </c>
    </row>
    <row r="149" spans="1:17" x14ac:dyDescent="0.2">
      <c r="A149" s="2">
        <v>44986</v>
      </c>
      <c r="B149">
        <f t="shared" si="25"/>
        <v>2023</v>
      </c>
      <c r="C149">
        <f t="shared" si="26"/>
        <v>3</v>
      </c>
      <c r="D149" s="54"/>
      <c r="E149" s="54">
        <f t="shared" ref="E149:E158" si="34">E148</f>
        <v>1436531.919145507</v>
      </c>
      <c r="G149" s="53">
        <f t="shared" si="33"/>
        <v>291.06</v>
      </c>
      <c r="H149" s="53">
        <f t="shared" si="33"/>
        <v>2.8099999999999996</v>
      </c>
      <c r="I149" s="30">
        <f t="shared" si="27"/>
        <v>31</v>
      </c>
      <c r="J149" s="93">
        <f>'Rate Class Customer Model'!H74</f>
        <v>340.63322740728785</v>
      </c>
      <c r="K149" s="49">
        <v>3448.7211524000004</v>
      </c>
      <c r="L149" s="99">
        <f t="shared" si="30"/>
        <v>0.25</v>
      </c>
      <c r="M149" s="30">
        <f t="shared" si="28"/>
        <v>20327227.800515275</v>
      </c>
      <c r="N149" s="30">
        <f t="shared" si="29"/>
        <v>18890695.88136977</v>
      </c>
      <c r="O149" s="49"/>
      <c r="P149" s="48"/>
      <c r="Q149">
        <f t="shared" si="32"/>
        <v>0.5</v>
      </c>
    </row>
    <row r="150" spans="1:17" x14ac:dyDescent="0.2">
      <c r="A150" s="2">
        <v>45017</v>
      </c>
      <c r="B150">
        <f t="shared" si="25"/>
        <v>2023</v>
      </c>
      <c r="C150">
        <f t="shared" si="26"/>
        <v>4</v>
      </c>
      <c r="D150" s="54"/>
      <c r="E150" s="54">
        <f t="shared" si="34"/>
        <v>1436531.919145507</v>
      </c>
      <c r="G150" s="53">
        <f t="shared" si="33"/>
        <v>120.71999999999998</v>
      </c>
      <c r="H150" s="53">
        <f t="shared" si="33"/>
        <v>6.58</v>
      </c>
      <c r="I150" s="30">
        <f t="shared" si="27"/>
        <v>30</v>
      </c>
      <c r="J150" s="93">
        <f>'Rate Class Customer Model'!H75</f>
        <v>341.5620618268951</v>
      </c>
      <c r="K150" s="49">
        <v>3453.8864335000003</v>
      </c>
      <c r="L150" s="99">
        <f t="shared" si="30"/>
        <v>0.25</v>
      </c>
      <c r="M150" s="30">
        <f t="shared" si="28"/>
        <v>19156734.253026027</v>
      </c>
      <c r="N150" s="30">
        <f t="shared" si="29"/>
        <v>17720202.333880521</v>
      </c>
      <c r="O150" s="49"/>
      <c r="P150" s="48"/>
      <c r="Q150">
        <f t="shared" si="32"/>
        <v>0.5</v>
      </c>
    </row>
    <row r="151" spans="1:17" x14ac:dyDescent="0.2">
      <c r="A151" s="2">
        <v>45047</v>
      </c>
      <c r="B151">
        <f t="shared" si="25"/>
        <v>2023</v>
      </c>
      <c r="C151">
        <f t="shared" si="26"/>
        <v>5</v>
      </c>
      <c r="D151" s="54"/>
      <c r="E151" s="54">
        <f t="shared" si="34"/>
        <v>1436531.919145507</v>
      </c>
      <c r="G151" s="53">
        <f t="shared" si="33"/>
        <v>16.330000000000002</v>
      </c>
      <c r="H151" s="53">
        <f t="shared" si="33"/>
        <v>107.25</v>
      </c>
      <c r="I151" s="30">
        <f t="shared" si="27"/>
        <v>31</v>
      </c>
      <c r="J151" s="93">
        <f>'Rate Class Customer Model'!H76</f>
        <v>342.4934289805683</v>
      </c>
      <c r="K151" s="49">
        <v>3455.5730559000003</v>
      </c>
      <c r="L151" s="99">
        <f t="shared" si="30"/>
        <v>0.25</v>
      </c>
      <c r="M151" s="30">
        <f t="shared" si="28"/>
        <v>19664173.061053161</v>
      </c>
      <c r="N151" s="30">
        <f t="shared" si="29"/>
        <v>18227641.141907655</v>
      </c>
      <c r="O151" s="49"/>
      <c r="P151" s="48"/>
      <c r="Q151">
        <f t="shared" si="32"/>
        <v>0.5</v>
      </c>
    </row>
    <row r="152" spans="1:17" x14ac:dyDescent="0.2">
      <c r="A152" s="2">
        <v>45078</v>
      </c>
      <c r="B152">
        <f t="shared" si="25"/>
        <v>2023</v>
      </c>
      <c r="C152">
        <f t="shared" si="26"/>
        <v>6</v>
      </c>
      <c r="D152" s="54"/>
      <c r="E152" s="54">
        <f t="shared" si="34"/>
        <v>1436531.919145507</v>
      </c>
      <c r="G152" s="53">
        <f t="shared" si="33"/>
        <v>0</v>
      </c>
      <c r="H152" s="53">
        <f t="shared" si="33"/>
        <v>230.10000000000005</v>
      </c>
      <c r="I152" s="30">
        <f t="shared" si="27"/>
        <v>30</v>
      </c>
      <c r="J152" s="93">
        <f>'Rate Class Customer Model'!H77</f>
        <v>343.42733577453498</v>
      </c>
      <c r="K152" s="49">
        <v>3466.5361015000003</v>
      </c>
      <c r="L152" s="99">
        <f t="shared" si="30"/>
        <v>0.25</v>
      </c>
      <c r="M152" s="30">
        <f t="shared" si="28"/>
        <v>20108131.028692603</v>
      </c>
      <c r="N152" s="30">
        <f t="shared" si="29"/>
        <v>18671599.109547097</v>
      </c>
      <c r="O152" s="49"/>
      <c r="P152" s="48"/>
      <c r="Q152">
        <f t="shared" si="32"/>
        <v>0.5</v>
      </c>
    </row>
    <row r="153" spans="1:17" x14ac:dyDescent="0.2">
      <c r="A153" s="2">
        <v>45108</v>
      </c>
      <c r="B153">
        <f t="shared" si="25"/>
        <v>2023</v>
      </c>
      <c r="C153">
        <f t="shared" si="26"/>
        <v>7</v>
      </c>
      <c r="D153" s="54"/>
      <c r="E153" s="54">
        <f t="shared" si="34"/>
        <v>1436531.919145507</v>
      </c>
      <c r="G153" s="53">
        <f t="shared" si="33"/>
        <v>0</v>
      </c>
      <c r="H153" s="53">
        <f t="shared" si="33"/>
        <v>331.41</v>
      </c>
      <c r="I153" s="30">
        <f t="shared" si="27"/>
        <v>31</v>
      </c>
      <c r="J153" s="93">
        <f>'Rate Class Customer Model'!H78</f>
        <v>344.36378913385448</v>
      </c>
      <c r="K153" s="49">
        <v>3513.3398731000002</v>
      </c>
      <c r="L153" s="99">
        <f t="shared" si="30"/>
        <v>0.25</v>
      </c>
      <c r="M153" s="30">
        <f t="shared" si="28"/>
        <v>21352900.812526032</v>
      </c>
      <c r="N153" s="30">
        <f t="shared" si="29"/>
        <v>19916368.893380526</v>
      </c>
      <c r="O153" s="49"/>
      <c r="P153" s="48"/>
      <c r="Q153">
        <f t="shared" si="32"/>
        <v>0.5</v>
      </c>
    </row>
    <row r="154" spans="1:17" x14ac:dyDescent="0.2">
      <c r="A154" s="2">
        <v>45139</v>
      </c>
      <c r="B154">
        <f t="shared" si="25"/>
        <v>2023</v>
      </c>
      <c r="C154">
        <f t="shared" si="26"/>
        <v>8</v>
      </c>
      <c r="D154" s="54"/>
      <c r="E154" s="54">
        <f t="shared" si="34"/>
        <v>1436531.919145507</v>
      </c>
      <c r="G154" s="53">
        <f t="shared" si="33"/>
        <v>0</v>
      </c>
      <c r="H154" s="53">
        <f t="shared" si="33"/>
        <v>304.46000000000004</v>
      </c>
      <c r="I154" s="30">
        <f t="shared" si="27"/>
        <v>31</v>
      </c>
      <c r="J154" s="93">
        <f>'Rate Class Customer Model'!H79</f>
        <v>345.30279600246934</v>
      </c>
      <c r="K154" s="49">
        <v>3587.7620865000004</v>
      </c>
      <c r="L154" s="99">
        <f t="shared" si="30"/>
        <v>0.25</v>
      </c>
      <c r="M154" s="30">
        <f t="shared" si="28"/>
        <v>21510383.876435995</v>
      </c>
      <c r="N154" s="30">
        <f t="shared" si="29"/>
        <v>20073851.957290489</v>
      </c>
      <c r="O154" s="49"/>
      <c r="P154" s="48"/>
      <c r="Q154">
        <f t="shared" si="32"/>
        <v>0.5</v>
      </c>
    </row>
    <row r="155" spans="1:17" x14ac:dyDescent="0.2">
      <c r="A155" s="2">
        <v>45170</v>
      </c>
      <c r="B155">
        <f t="shared" si="25"/>
        <v>2023</v>
      </c>
      <c r="C155">
        <f t="shared" si="26"/>
        <v>9</v>
      </c>
      <c r="D155" s="54"/>
      <c r="E155" s="54">
        <f t="shared" si="34"/>
        <v>1436531.919145507</v>
      </c>
      <c r="G155" s="53">
        <f t="shared" si="33"/>
        <v>0.24999999999999983</v>
      </c>
      <c r="H155" s="53">
        <f t="shared" si="33"/>
        <v>176.51</v>
      </c>
      <c r="I155" s="30">
        <f t="shared" si="27"/>
        <v>30</v>
      </c>
      <c r="J155" s="93">
        <f>'Rate Class Customer Model'!H80</f>
        <v>346.24436334325674</v>
      </c>
      <c r="K155" s="49">
        <v>3644.2639369000003</v>
      </c>
      <c r="L155" s="99">
        <f t="shared" si="30"/>
        <v>0.25</v>
      </c>
      <c r="M155" s="30">
        <f t="shared" si="28"/>
        <v>20570472.645305131</v>
      </c>
      <c r="N155" s="30">
        <f t="shared" si="29"/>
        <v>19133940.726159625</v>
      </c>
      <c r="O155" s="49"/>
      <c r="P155" s="48"/>
      <c r="Q155">
        <f t="shared" si="32"/>
        <v>0.5</v>
      </c>
    </row>
    <row r="156" spans="1:17" x14ac:dyDescent="0.2">
      <c r="A156" s="2">
        <v>45200</v>
      </c>
      <c r="B156">
        <f t="shared" si="25"/>
        <v>2023</v>
      </c>
      <c r="C156">
        <f t="shared" si="26"/>
        <v>10</v>
      </c>
      <c r="D156" s="54"/>
      <c r="E156" s="54">
        <f t="shared" si="34"/>
        <v>1436531.919145507</v>
      </c>
      <c r="G156" s="53">
        <f t="shared" si="33"/>
        <v>44.309999999999995</v>
      </c>
      <c r="H156" s="53">
        <f t="shared" si="33"/>
        <v>43.36</v>
      </c>
      <c r="I156" s="30">
        <f t="shared" si="27"/>
        <v>31</v>
      </c>
      <c r="J156" s="93">
        <f>'Rate Class Customer Model'!H81</f>
        <v>347.18849813808015</v>
      </c>
      <c r="K156" s="49">
        <v>3689.2756722000004</v>
      </c>
      <c r="L156" s="99">
        <f t="shared" si="30"/>
        <v>0.25</v>
      </c>
      <c r="M156" s="30">
        <f t="shared" si="28"/>
        <v>20482879.648410704</v>
      </c>
      <c r="N156" s="30">
        <f t="shared" si="29"/>
        <v>19046347.729265198</v>
      </c>
      <c r="O156" s="49"/>
      <c r="P156" s="48"/>
      <c r="Q156">
        <f t="shared" si="32"/>
        <v>0.5</v>
      </c>
    </row>
    <row r="157" spans="1:17" x14ac:dyDescent="0.2">
      <c r="A157" s="2">
        <v>45231</v>
      </c>
      <c r="B157">
        <f t="shared" si="25"/>
        <v>2023</v>
      </c>
      <c r="C157">
        <f t="shared" si="26"/>
        <v>11</v>
      </c>
      <c r="D157" s="54"/>
      <c r="E157" s="54">
        <f t="shared" si="34"/>
        <v>1436531.919145507</v>
      </c>
      <c r="G157" s="53">
        <f t="shared" si="33"/>
        <v>193.95999999999998</v>
      </c>
      <c r="H157" s="53">
        <f t="shared" si="33"/>
        <v>2.7399999999999998</v>
      </c>
      <c r="I157" s="30">
        <f t="shared" si="27"/>
        <v>30</v>
      </c>
      <c r="J157" s="93">
        <f>'Rate Class Customer Model'!H82</f>
        <v>348.13520738784104</v>
      </c>
      <c r="K157" s="49">
        <v>3703.2957209000001</v>
      </c>
      <c r="L157" s="99">
        <f t="shared" si="30"/>
        <v>0.25</v>
      </c>
      <c r="M157" s="30">
        <f t="shared" si="28"/>
        <v>20719364.354237698</v>
      </c>
      <c r="N157" s="30">
        <f t="shared" si="29"/>
        <v>19282832.435092192</v>
      </c>
      <c r="O157" s="49"/>
      <c r="P157" s="48"/>
      <c r="Q157">
        <f t="shared" si="32"/>
        <v>0.5</v>
      </c>
    </row>
    <row r="158" spans="1:17" x14ac:dyDescent="0.2">
      <c r="A158" s="2">
        <v>45261</v>
      </c>
      <c r="B158">
        <f t="shared" si="25"/>
        <v>2023</v>
      </c>
      <c r="C158">
        <f t="shared" si="26"/>
        <v>12</v>
      </c>
      <c r="D158" s="54"/>
      <c r="E158" s="54">
        <f t="shared" si="34"/>
        <v>1436531.919145507</v>
      </c>
      <c r="G158" s="53">
        <f t="shared" si="33"/>
        <v>327.48000000000008</v>
      </c>
      <c r="H158" s="53">
        <f t="shared" si="33"/>
        <v>0</v>
      </c>
      <c r="I158" s="30">
        <f t="shared" si="27"/>
        <v>31</v>
      </c>
      <c r="J158" s="93">
        <f>'Rate Class Customer Model'!H83</f>
        <v>349.08449811253098</v>
      </c>
      <c r="K158" s="49">
        <v>3730.8087488000001</v>
      </c>
      <c r="L158" s="99">
        <f t="shared" si="30"/>
        <v>0.25</v>
      </c>
      <c r="M158" s="30">
        <f>$R$19+G158*$R$20+H158*$R$21+I158*$R$22+J158*$R$23+K158*$R$24+L158*$R$25</f>
        <v>21887498.430862218</v>
      </c>
      <c r="N158" s="30">
        <f t="shared" si="29"/>
        <v>20450966.511716712</v>
      </c>
      <c r="O158" s="49"/>
      <c r="P158" s="48"/>
      <c r="Q158">
        <f t="shared" si="32"/>
        <v>0.5</v>
      </c>
    </row>
    <row r="159" spans="1:17" x14ac:dyDescent="0.2">
      <c r="A159" s="2"/>
      <c r="B159" s="2"/>
      <c r="C159" s="2"/>
      <c r="D159" s="54"/>
      <c r="E159" s="54"/>
      <c r="G159" s="50"/>
      <c r="H159" s="50"/>
      <c r="I159" s="30"/>
      <c r="J159" s="30"/>
      <c r="M159" s="30"/>
      <c r="N159" s="30"/>
      <c r="O159" s="49"/>
      <c r="P159" s="77">
        <f>AVERAGE(P3:P134)</f>
        <v>2.3258626697548034E-2</v>
      </c>
    </row>
    <row r="160" spans="1:17" x14ac:dyDescent="0.2">
      <c r="A160" s="2"/>
      <c r="B160" s="2"/>
      <c r="C160" s="2"/>
      <c r="D160" s="2"/>
      <c r="E160" s="2"/>
      <c r="G160" s="50"/>
      <c r="H160" s="50"/>
      <c r="I160" s="30"/>
      <c r="J160" s="30"/>
      <c r="M160" s="30"/>
      <c r="N160" s="30"/>
      <c r="O160" s="49"/>
      <c r="P160" s="48"/>
    </row>
    <row r="161" spans="1:38" x14ac:dyDescent="0.2">
      <c r="A161" s="2"/>
      <c r="B161" s="2"/>
      <c r="C161" s="2"/>
      <c r="D161" s="2"/>
      <c r="E161" s="2"/>
      <c r="G161" s="50"/>
      <c r="H161" s="50"/>
      <c r="I161" s="30"/>
      <c r="J161" s="30"/>
      <c r="M161" s="30"/>
      <c r="N161" s="30"/>
      <c r="O161" s="49"/>
      <c r="P161" s="48"/>
    </row>
    <row r="162" spans="1:38" x14ac:dyDescent="0.2">
      <c r="A162" s="2"/>
      <c r="B162" s="2"/>
      <c r="C162" s="2"/>
      <c r="D162" s="2"/>
      <c r="E162" s="2"/>
      <c r="G162" s="50"/>
      <c r="H162" s="50"/>
      <c r="I162" s="30"/>
      <c r="J162" s="30"/>
      <c r="M162" s="30"/>
      <c r="N162" s="30"/>
      <c r="O162" s="49"/>
      <c r="P162" s="48"/>
    </row>
    <row r="163" spans="1:38" x14ac:dyDescent="0.2">
      <c r="A163" s="2"/>
      <c r="B163" s="2"/>
      <c r="C163" s="2"/>
      <c r="D163" s="2"/>
      <c r="E163" s="2"/>
      <c r="I163" s="25"/>
      <c r="K163" s="25"/>
      <c r="L163" s="25"/>
      <c r="AD163" s="37"/>
      <c r="AE163" s="37"/>
      <c r="AF163" s="37"/>
    </row>
    <row r="164" spans="1:38" x14ac:dyDescent="0.2">
      <c r="A164" s="2"/>
      <c r="B164" s="2"/>
      <c r="C164" s="2"/>
      <c r="D164" s="2"/>
      <c r="E164" s="2"/>
      <c r="I164" s="25"/>
      <c r="K164" s="25"/>
      <c r="L164" s="25"/>
      <c r="N164" s="25"/>
      <c r="AD164"/>
      <c r="AE164"/>
      <c r="AF164"/>
      <c r="AG164"/>
      <c r="AH164"/>
      <c r="AI164"/>
      <c r="AJ164"/>
      <c r="AK164"/>
      <c r="AL164"/>
    </row>
    <row r="165" spans="1:38" x14ac:dyDescent="0.2">
      <c r="A165" s="2"/>
      <c r="B165" s="2"/>
      <c r="C165" s="2"/>
      <c r="D165" s="2"/>
      <c r="E165" s="2"/>
      <c r="I165" s="25"/>
      <c r="K165" s="25"/>
      <c r="L165" s="25"/>
      <c r="AD165"/>
      <c r="AE165"/>
      <c r="AF165"/>
      <c r="AG165"/>
      <c r="AH165"/>
      <c r="AI165"/>
      <c r="AJ165"/>
      <c r="AK165"/>
      <c r="AL165"/>
    </row>
    <row r="166" spans="1:38" x14ac:dyDescent="0.2">
      <c r="A166" s="2"/>
      <c r="B166" s="2"/>
      <c r="C166" s="2"/>
      <c r="D166" s="85" t="s">
        <v>82</v>
      </c>
      <c r="E166" s="85" t="s">
        <v>72</v>
      </c>
      <c r="F166" s="37" t="s">
        <v>73</v>
      </c>
      <c r="M166" s="55"/>
      <c r="O166" s="76" t="s">
        <v>83</v>
      </c>
      <c r="P166" s="76" t="s">
        <v>72</v>
      </c>
      <c r="Q166" s="76" t="s">
        <v>84</v>
      </c>
      <c r="AD166"/>
      <c r="AE166"/>
      <c r="AF166"/>
      <c r="AG166"/>
      <c r="AH166"/>
      <c r="AI166"/>
      <c r="AJ166"/>
      <c r="AK166"/>
      <c r="AL166"/>
    </row>
    <row r="167" spans="1:38" x14ac:dyDescent="0.2">
      <c r="A167" s="10">
        <v>2011</v>
      </c>
      <c r="B167" s="10"/>
      <c r="C167" s="10"/>
      <c r="D167" s="39">
        <f>SUMIF(B:B,A167,D:D)</f>
        <v>192782769.75999996</v>
      </c>
      <c r="E167" s="39">
        <f>SUMIF(B:B,A167,E:E)</f>
        <v>1113393.2546150328</v>
      </c>
      <c r="F167" s="5">
        <f>SUMIF(B:B,A167,F:F)</f>
        <v>193896163.01461503</v>
      </c>
      <c r="M167" s="55"/>
      <c r="O167" s="5">
        <f t="shared" ref="O167:O179" si="35">SUMIF(B:B,A167,M:M)</f>
        <v>196130388.70851982</v>
      </c>
      <c r="P167" s="55">
        <v>1113393.2546150328</v>
      </c>
      <c r="Q167" s="55">
        <f t="shared" ref="Q167:Q179" si="36">SUMIF(B:B,A167,N:N)</f>
        <v>195016995.45390481</v>
      </c>
      <c r="AD167"/>
      <c r="AE167"/>
      <c r="AF167"/>
      <c r="AG167"/>
      <c r="AH167"/>
      <c r="AI167"/>
      <c r="AJ167"/>
      <c r="AK167"/>
      <c r="AL167"/>
    </row>
    <row r="168" spans="1:38" x14ac:dyDescent="0.2">
      <c r="A168" s="10">
        <f>A167+1</f>
        <v>2012</v>
      </c>
      <c r="B168" s="10"/>
      <c r="C168" s="10"/>
      <c r="D168" s="39">
        <f t="shared" ref="D168:D176" si="37">SUMIF(B:B,A168,D:D)</f>
        <v>194206572.97999996</v>
      </c>
      <c r="E168" s="39">
        <f t="shared" ref="E168:E177" si="38">SUMIF(B:B,A168,E:E)</f>
        <v>2745090.4018907608</v>
      </c>
      <c r="F168" s="5">
        <f t="shared" ref="F168:F177" si="39">SUMIF(B:B,A168,F:F)</f>
        <v>196951663.38189071</v>
      </c>
      <c r="M168" s="55"/>
      <c r="O168" s="5">
        <f t="shared" si="35"/>
        <v>197786080.54394636</v>
      </c>
      <c r="P168" s="55">
        <v>2745090.4018907612</v>
      </c>
      <c r="Q168" s="55">
        <f t="shared" si="36"/>
        <v>195040990.1420556</v>
      </c>
      <c r="AD168"/>
      <c r="AE168"/>
      <c r="AF168"/>
      <c r="AG168"/>
      <c r="AH168"/>
      <c r="AI168"/>
      <c r="AJ168"/>
      <c r="AK168"/>
      <c r="AL168"/>
    </row>
    <row r="169" spans="1:38" x14ac:dyDescent="0.2">
      <c r="A169" s="10">
        <f t="shared" ref="A169:A179" si="40">A168+1</f>
        <v>2013</v>
      </c>
      <c r="B169" s="10"/>
      <c r="C169" s="10"/>
      <c r="D169" s="39">
        <f t="shared" si="37"/>
        <v>203179610.86000001</v>
      </c>
      <c r="E169" s="39">
        <f t="shared" si="38"/>
        <v>4136126.0645098011</v>
      </c>
      <c r="F169" s="5">
        <f t="shared" si="39"/>
        <v>207315736.92450976</v>
      </c>
      <c r="M169" s="55"/>
      <c r="O169" s="5">
        <f t="shared" si="35"/>
        <v>205242015.46749759</v>
      </c>
      <c r="P169" s="55">
        <v>4136126.0645098006</v>
      </c>
      <c r="Q169" s="55">
        <f t="shared" si="36"/>
        <v>201105889.40298778</v>
      </c>
      <c r="AD169"/>
      <c r="AE169"/>
      <c r="AF169"/>
      <c r="AG169"/>
      <c r="AH169"/>
      <c r="AI169"/>
      <c r="AJ169"/>
      <c r="AK169"/>
      <c r="AL169"/>
    </row>
    <row r="170" spans="1:38" x14ac:dyDescent="0.2">
      <c r="A170" s="10">
        <f t="shared" si="40"/>
        <v>2014</v>
      </c>
      <c r="D170" s="39">
        <f t="shared" si="37"/>
        <v>204924669.72999999</v>
      </c>
      <c r="E170" s="39">
        <f t="shared" si="38"/>
        <v>5768742.227565065</v>
      </c>
      <c r="F170" s="5">
        <f t="shared" si="39"/>
        <v>210693411.95756504</v>
      </c>
      <c r="M170" s="55"/>
      <c r="O170" s="5">
        <f t="shared" si="35"/>
        <v>207986438.67274573</v>
      </c>
      <c r="P170" s="55">
        <v>5768742.227565066</v>
      </c>
      <c r="Q170" s="55">
        <f t="shared" si="36"/>
        <v>202217696.44518068</v>
      </c>
      <c r="AD170"/>
      <c r="AE170"/>
      <c r="AF170"/>
      <c r="AG170"/>
      <c r="AH170"/>
      <c r="AI170"/>
      <c r="AJ170"/>
      <c r="AK170"/>
      <c r="AL170"/>
    </row>
    <row r="171" spans="1:38" x14ac:dyDescent="0.2">
      <c r="A171" s="10">
        <f t="shared" si="40"/>
        <v>2015</v>
      </c>
      <c r="B171" s="10"/>
      <c r="C171" s="10"/>
      <c r="D171" s="39">
        <f t="shared" si="37"/>
        <v>205449544.32771084</v>
      </c>
      <c r="E171" s="39">
        <f t="shared" si="38"/>
        <v>6660535.9734396851</v>
      </c>
      <c r="F171" s="5">
        <f t="shared" si="39"/>
        <v>212110080.3011505</v>
      </c>
      <c r="M171" s="55"/>
      <c r="O171" s="5">
        <f t="shared" si="35"/>
        <v>213488330.10740015</v>
      </c>
      <c r="P171" s="55">
        <v>6660535.9734396851</v>
      </c>
      <c r="Q171" s="55">
        <f t="shared" si="36"/>
        <v>206827794.13396049</v>
      </c>
      <c r="AD171"/>
      <c r="AE171"/>
      <c r="AF171"/>
      <c r="AG171"/>
      <c r="AH171"/>
      <c r="AI171"/>
      <c r="AJ171"/>
      <c r="AK171"/>
      <c r="AL171"/>
    </row>
    <row r="172" spans="1:38" x14ac:dyDescent="0.2">
      <c r="A172" s="10">
        <f t="shared" si="40"/>
        <v>2016</v>
      </c>
      <c r="D172" s="39">
        <f t="shared" si="37"/>
        <v>204715589.59036142</v>
      </c>
      <c r="E172" s="39">
        <f t="shared" si="38"/>
        <v>7892962.8518290883</v>
      </c>
      <c r="F172" s="5">
        <f t="shared" si="39"/>
        <v>212608552.4421905</v>
      </c>
      <c r="M172" s="55"/>
      <c r="O172" s="5">
        <f t="shared" si="35"/>
        <v>217987112.67202577</v>
      </c>
      <c r="P172" s="55">
        <v>7892962.8518290874</v>
      </c>
      <c r="Q172" s="55">
        <f t="shared" si="36"/>
        <v>210094149.82019669</v>
      </c>
      <c r="AD172"/>
      <c r="AE172"/>
      <c r="AF172"/>
      <c r="AG172"/>
      <c r="AH172"/>
      <c r="AI172"/>
      <c r="AJ172"/>
      <c r="AK172"/>
      <c r="AL172"/>
    </row>
    <row r="173" spans="1:38" x14ac:dyDescent="0.2">
      <c r="A173" s="10">
        <f t="shared" si="40"/>
        <v>2017</v>
      </c>
      <c r="B173" s="10"/>
      <c r="C173" s="10"/>
      <c r="D173" s="39">
        <f t="shared" si="37"/>
        <v>213633991.96144572</v>
      </c>
      <c r="E173" s="39">
        <f t="shared" si="38"/>
        <v>12308944.998419365</v>
      </c>
      <c r="F173" s="5">
        <f t="shared" si="39"/>
        <v>225942936.95986509</v>
      </c>
      <c r="M173" s="55"/>
      <c r="O173" s="5">
        <f t="shared" si="35"/>
        <v>224902716.75982982</v>
      </c>
      <c r="P173" s="55">
        <v>12308944.998419363</v>
      </c>
      <c r="Q173" s="55">
        <f t="shared" si="36"/>
        <v>212593771.76141044</v>
      </c>
      <c r="AD173"/>
      <c r="AE173"/>
      <c r="AF173"/>
      <c r="AG173"/>
      <c r="AH173"/>
      <c r="AI173"/>
      <c r="AJ173"/>
      <c r="AK173"/>
      <c r="AL173"/>
    </row>
    <row r="174" spans="1:38" x14ac:dyDescent="0.2">
      <c r="A174" s="10">
        <f t="shared" si="40"/>
        <v>2018</v>
      </c>
      <c r="D174" s="39">
        <f t="shared" si="37"/>
        <v>221806792.86746988</v>
      </c>
      <c r="E174" s="39">
        <f t="shared" si="38"/>
        <v>17083005.325519945</v>
      </c>
      <c r="F174" s="5">
        <f t="shared" si="39"/>
        <v>238889798.19298983</v>
      </c>
      <c r="M174" s="55"/>
      <c r="O174" s="5">
        <f t="shared" si="35"/>
        <v>233659895.18991411</v>
      </c>
      <c r="P174" s="55">
        <v>17083005.325519945</v>
      </c>
      <c r="Q174" s="55">
        <f t="shared" si="36"/>
        <v>216576889.86439413</v>
      </c>
      <c r="AD174"/>
      <c r="AE174"/>
      <c r="AF174"/>
      <c r="AG174"/>
      <c r="AH174"/>
      <c r="AI174"/>
      <c r="AJ174"/>
      <c r="AK174"/>
      <c r="AL174"/>
    </row>
    <row r="175" spans="1:38" x14ac:dyDescent="0.2">
      <c r="A175" s="10">
        <f t="shared" si="40"/>
        <v>2019</v>
      </c>
      <c r="B175" s="10"/>
      <c r="C175" s="10"/>
      <c r="D175" s="39">
        <f t="shared" si="37"/>
        <v>220154820.13493976</v>
      </c>
      <c r="E175" s="39">
        <f t="shared" si="38"/>
        <v>19187967.141494256</v>
      </c>
      <c r="F175" s="5">
        <f t="shared" si="39"/>
        <v>239342787.27643397</v>
      </c>
      <c r="M175" s="55"/>
      <c r="O175" s="5">
        <f t="shared" si="35"/>
        <v>241227700.95835972</v>
      </c>
      <c r="P175" s="55">
        <v>19187967.141494252</v>
      </c>
      <c r="Q175" s="55">
        <f t="shared" si="36"/>
        <v>222039733.81686553</v>
      </c>
      <c r="AD175"/>
      <c r="AE175"/>
      <c r="AF175"/>
      <c r="AG175"/>
      <c r="AH175"/>
      <c r="AI175"/>
      <c r="AJ175"/>
      <c r="AK175"/>
      <c r="AL175"/>
    </row>
    <row r="176" spans="1:38" x14ac:dyDescent="0.2">
      <c r="A176" s="10">
        <f t="shared" si="40"/>
        <v>2020</v>
      </c>
      <c r="D176" s="39">
        <f t="shared" si="37"/>
        <v>209733279.5373494</v>
      </c>
      <c r="E176" s="39">
        <f t="shared" si="38"/>
        <v>19633009.963500582</v>
      </c>
      <c r="F176" s="5">
        <f t="shared" si="39"/>
        <v>229366289.50085002</v>
      </c>
      <c r="M176" s="55"/>
      <c r="O176" s="5">
        <f t="shared" si="35"/>
        <v>228481454.21275297</v>
      </c>
      <c r="P176" s="55">
        <v>19633009.963500582</v>
      </c>
      <c r="Q176" s="55">
        <f t="shared" si="36"/>
        <v>208848444.24925238</v>
      </c>
      <c r="R176" s="5"/>
      <c r="AD176"/>
      <c r="AE176"/>
      <c r="AF176"/>
      <c r="AG176"/>
      <c r="AH176"/>
      <c r="AI176"/>
      <c r="AJ176"/>
      <c r="AK176"/>
      <c r="AL176"/>
    </row>
    <row r="177" spans="1:38" x14ac:dyDescent="0.2">
      <c r="A177" s="10">
        <f t="shared" si="40"/>
        <v>2021</v>
      </c>
      <c r="B177" s="10"/>
      <c r="C177" s="10"/>
      <c r="D177" s="39">
        <f>SUMIF(B:B,A177,D:D)</f>
        <v>214209551.57590359</v>
      </c>
      <c r="E177" s="39">
        <f t="shared" si="38"/>
        <v>19281454.115713559</v>
      </c>
      <c r="F177" s="5">
        <f t="shared" si="39"/>
        <v>233491005.69161713</v>
      </c>
      <c r="M177" s="55"/>
      <c r="O177" s="5">
        <f t="shared" si="35"/>
        <v>233294343.06621391</v>
      </c>
      <c r="P177" s="55">
        <v>19281454.115713555</v>
      </c>
      <c r="Q177" s="55">
        <f t="shared" si="36"/>
        <v>214012888.95050031</v>
      </c>
      <c r="R177" s="5"/>
      <c r="AD177"/>
      <c r="AE177"/>
      <c r="AF177"/>
      <c r="AG177"/>
      <c r="AH177"/>
      <c r="AI177"/>
      <c r="AJ177"/>
      <c r="AK177"/>
      <c r="AL177"/>
    </row>
    <row r="178" spans="1:38" x14ac:dyDescent="0.2">
      <c r="A178" s="10">
        <f t="shared" si="40"/>
        <v>2022</v>
      </c>
      <c r="B178" s="10"/>
      <c r="C178" s="10"/>
      <c r="D178" s="39"/>
      <c r="E178" s="39"/>
      <c r="M178" s="55"/>
      <c r="O178" s="5">
        <f t="shared" si="35"/>
        <v>238462381.10523975</v>
      </c>
      <c r="P178" s="55">
        <v>18315392.8548957</v>
      </c>
      <c r="Q178" s="55">
        <f t="shared" si="36"/>
        <v>220146988.25034407</v>
      </c>
      <c r="AD178"/>
      <c r="AE178"/>
      <c r="AF178"/>
      <c r="AG178"/>
      <c r="AH178"/>
      <c r="AI178"/>
      <c r="AJ178"/>
      <c r="AK178"/>
      <c r="AL178"/>
    </row>
    <row r="179" spans="1:38" x14ac:dyDescent="0.2">
      <c r="A179" s="10">
        <f t="shared" si="40"/>
        <v>2023</v>
      </c>
      <c r="D179" s="39"/>
      <c r="E179" s="39"/>
      <c r="I179" s="41"/>
      <c r="J179" s="41"/>
      <c r="M179" s="52"/>
      <c r="N179" s="41"/>
      <c r="O179" s="5">
        <f t="shared" si="35"/>
        <v>246801984.93407446</v>
      </c>
      <c r="P179" s="55">
        <v>17238383.029746085</v>
      </c>
      <c r="Q179" s="55">
        <f t="shared" si="36"/>
        <v>229563601.90432838</v>
      </c>
      <c r="R179" s="75"/>
      <c r="AD179"/>
      <c r="AE179"/>
      <c r="AF179"/>
      <c r="AG179"/>
      <c r="AH179"/>
      <c r="AI179"/>
      <c r="AJ179"/>
      <c r="AK179"/>
      <c r="AL179"/>
    </row>
    <row r="180" spans="1:38" x14ac:dyDescent="0.2">
      <c r="A180" s="27" t="s">
        <v>94</v>
      </c>
      <c r="B180" s="27"/>
      <c r="C180" s="27"/>
      <c r="D180" s="27"/>
      <c r="E180" s="27"/>
      <c r="J180" s="55"/>
      <c r="N180" s="5"/>
      <c r="O180" s="5"/>
      <c r="P180" s="5"/>
      <c r="Q180" s="1"/>
      <c r="AD180"/>
      <c r="AE180"/>
      <c r="AF180"/>
      <c r="AG180"/>
      <c r="AH180"/>
      <c r="AI180"/>
      <c r="AJ180"/>
      <c r="AK180"/>
      <c r="AL180"/>
    </row>
    <row r="181" spans="1:38" x14ac:dyDescent="0.2">
      <c r="J181" s="55"/>
      <c r="Q181" s="1"/>
      <c r="AD181"/>
      <c r="AE181"/>
      <c r="AF181"/>
      <c r="AG181"/>
      <c r="AH181"/>
      <c r="AI181"/>
      <c r="AJ181"/>
      <c r="AK181"/>
      <c r="AL181"/>
    </row>
    <row r="182" spans="1:38" x14ac:dyDescent="0.2">
      <c r="G182" s="51"/>
      <c r="H182" s="41"/>
      <c r="I182" s="41"/>
      <c r="J182" s="52"/>
      <c r="K182" s="41"/>
      <c r="L182" s="41"/>
      <c r="Q182" s="39"/>
    </row>
    <row r="184" spans="1:38" x14ac:dyDescent="0.2">
      <c r="Q184" s="39"/>
    </row>
    <row r="185" spans="1:38" x14ac:dyDescent="0.2">
      <c r="Q185" s="39"/>
    </row>
    <row r="190" spans="1:38" x14ac:dyDescent="0.2">
      <c r="AD190" s="37"/>
      <c r="AE190" s="37"/>
      <c r="AF190" s="37"/>
    </row>
  </sheetData>
  <mergeCells count="1">
    <mergeCell ref="A1:G1"/>
  </mergeCells>
  <phoneticPr fontId="0" type="noConversion"/>
  <pageMargins left="0.39370078740157483" right="0.74803149606299213" top="0.55118110236220474" bottom="0.55118110236220474" header="0.51181102362204722" footer="0.51181102362204722"/>
  <pageSetup orientation="portrait" r:id="rId1"/>
  <headerFooter alignWithMargins="0"/>
  <rowBreaks count="1" manualBreakCount="1">
    <brk id="110" max="38" man="1"/>
  </rowBreaks>
  <colBreaks count="2" manualBreakCount="2">
    <brk id="16" max="1048575" man="1"/>
    <brk id="26" max="22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113"/>
  <sheetViews>
    <sheetView zoomScaleNormal="100" workbookViewId="0">
      <pane xSplit="1" ySplit="2" topLeftCell="B3" activePane="bottomRight" state="frozen"/>
      <selection activeCell="V159" sqref="V159"/>
      <selection pane="topRight" activeCell="V159" sqref="V159"/>
      <selection pane="bottomLeft" activeCell="V159" sqref="V159"/>
      <selection pane="bottomRight" activeCell="M29" sqref="M29"/>
    </sheetView>
  </sheetViews>
  <sheetFormatPr defaultRowHeight="12.75" x14ac:dyDescent="0.2"/>
  <cols>
    <col min="1" max="1" width="28.140625" bestFit="1" customWidth="1"/>
    <col min="2" max="2" width="15.7109375" style="5" customWidth="1"/>
    <col min="3" max="3" width="15" style="5" customWidth="1"/>
    <col min="4" max="4" width="14.85546875" style="5" bestFit="1" customWidth="1"/>
    <col min="5" max="5" width="15.42578125" style="5" bestFit="1" customWidth="1"/>
    <col min="6" max="6" width="14.140625" style="5" customWidth="1"/>
    <col min="7" max="7" width="20.85546875" style="5" customWidth="1"/>
    <col min="8" max="8" width="14.140625" style="5" customWidth="1"/>
    <col min="9" max="9" width="14.7109375" style="5" customWidth="1"/>
    <col min="10" max="10" width="12.5703125" style="5" customWidth="1"/>
    <col min="11" max="11" width="13.28515625" style="5" bestFit="1" customWidth="1"/>
    <col min="12" max="12" width="11.140625" style="5" bestFit="1" customWidth="1"/>
    <col min="13" max="13" width="11.7109375" style="5" bestFit="1" customWidth="1"/>
    <col min="14" max="14" width="10.7109375" style="5" bestFit="1" customWidth="1"/>
    <col min="15" max="15" width="9.140625" style="5"/>
    <col min="16" max="16" width="11.140625" style="5" bestFit="1" customWidth="1"/>
  </cols>
  <sheetData>
    <row r="1" spans="1:10" x14ac:dyDescent="0.2">
      <c r="C1" s="135" t="s">
        <v>95</v>
      </c>
      <c r="D1" s="135"/>
      <c r="E1" s="135"/>
      <c r="F1" s="135"/>
      <c r="G1" s="135"/>
      <c r="H1" s="135"/>
      <c r="I1" s="135"/>
      <c r="J1" s="135"/>
    </row>
    <row r="2" spans="1:10" ht="42" customHeight="1" x14ac:dyDescent="0.2">
      <c r="B2" s="42"/>
      <c r="C2" s="43" t="s">
        <v>96</v>
      </c>
      <c r="D2" s="44" t="s">
        <v>97</v>
      </c>
      <c r="E2" s="44" t="s">
        <v>98</v>
      </c>
      <c r="F2" s="44" t="s">
        <v>99</v>
      </c>
      <c r="G2" s="44" t="s">
        <v>65</v>
      </c>
      <c r="H2" s="45" t="s">
        <v>100</v>
      </c>
      <c r="I2" s="45" t="s">
        <v>66</v>
      </c>
      <c r="J2" s="45" t="s">
        <v>101</v>
      </c>
    </row>
    <row r="4" spans="1:10" x14ac:dyDescent="0.2">
      <c r="A4" s="3"/>
    </row>
    <row r="5" spans="1:10" ht="15" x14ac:dyDescent="0.25">
      <c r="A5" s="3"/>
      <c r="C5" s="136"/>
      <c r="D5" s="137"/>
      <c r="E5" s="137"/>
      <c r="F5" s="138"/>
      <c r="G5" s="136"/>
      <c r="H5" s="137"/>
      <c r="I5" s="137"/>
      <c r="J5" s="138"/>
    </row>
    <row r="6" spans="1:10" x14ac:dyDescent="0.2">
      <c r="A6" s="3">
        <v>2011</v>
      </c>
      <c r="B6" s="5">
        <f t="shared" ref="B6:B18" si="0">SUM(C6:J6)</f>
        <v>754466669.81999993</v>
      </c>
      <c r="C6" s="46">
        <v>268725506.51999998</v>
      </c>
      <c r="D6" s="46">
        <v>83338833.540000021</v>
      </c>
      <c r="E6" s="46">
        <v>192782769.75999996</v>
      </c>
      <c r="F6" s="46">
        <v>121407487</v>
      </c>
      <c r="G6" s="46">
        <v>80336534</v>
      </c>
      <c r="H6" s="46">
        <v>6418516</v>
      </c>
      <c r="I6" s="46">
        <v>158082</v>
      </c>
      <c r="J6" s="46">
        <v>1298941</v>
      </c>
    </row>
    <row r="7" spans="1:10" x14ac:dyDescent="0.2">
      <c r="A7" s="3">
        <f>A6+1</f>
        <v>2012</v>
      </c>
      <c r="B7" s="5">
        <f t="shared" si="0"/>
        <v>783449113.69999993</v>
      </c>
      <c r="C7" s="46">
        <v>281220954.64999998</v>
      </c>
      <c r="D7" s="46">
        <v>84168273.069999993</v>
      </c>
      <c r="E7" s="46">
        <v>194206572.97999996</v>
      </c>
      <c r="F7" s="46">
        <v>128979851</v>
      </c>
      <c r="G7" s="46">
        <v>86554626</v>
      </c>
      <c r="H7" s="46">
        <v>6834941</v>
      </c>
      <c r="I7" s="46">
        <v>155804</v>
      </c>
      <c r="J7" s="46">
        <v>1328091</v>
      </c>
    </row>
    <row r="8" spans="1:10" x14ac:dyDescent="0.2">
      <c r="A8" s="3">
        <f t="shared" ref="A8:A18" si="1">A7+1</f>
        <v>2013</v>
      </c>
      <c r="B8" s="5">
        <f t="shared" si="0"/>
        <v>814644301.5</v>
      </c>
      <c r="C8" s="46">
        <v>287291133.52999997</v>
      </c>
      <c r="D8" s="46">
        <v>87021883.129999995</v>
      </c>
      <c r="E8" s="46">
        <v>203179610.86000001</v>
      </c>
      <c r="F8" s="46">
        <v>100652663.27</v>
      </c>
      <c r="G8" s="46">
        <v>127931414.90000002</v>
      </c>
      <c r="H8" s="46">
        <v>7077824.8700000001</v>
      </c>
      <c r="I8" s="46">
        <v>153123.74</v>
      </c>
      <c r="J8" s="46">
        <v>1336647.2</v>
      </c>
    </row>
    <row r="9" spans="1:10" x14ac:dyDescent="0.2">
      <c r="A9" s="3">
        <f t="shared" si="1"/>
        <v>2014</v>
      </c>
      <c r="B9" s="5">
        <f t="shared" si="0"/>
        <v>836470876.05999994</v>
      </c>
      <c r="C9" s="46">
        <v>290591982.63</v>
      </c>
      <c r="D9" s="46">
        <v>88384426.730000004</v>
      </c>
      <c r="E9" s="46">
        <v>204924669.72999999</v>
      </c>
      <c r="F9" s="46">
        <v>110411188.92</v>
      </c>
      <c r="G9" s="46">
        <v>133427900.34</v>
      </c>
      <c r="H9" s="46">
        <v>7239934.3099999996</v>
      </c>
      <c r="I9" s="46">
        <v>151002.67000000001</v>
      </c>
      <c r="J9" s="46">
        <v>1339770.73</v>
      </c>
    </row>
    <row r="10" spans="1:10" x14ac:dyDescent="0.2">
      <c r="A10" s="3">
        <f t="shared" si="1"/>
        <v>2015</v>
      </c>
      <c r="B10" s="5">
        <f t="shared" si="0"/>
        <v>848069009.06884122</v>
      </c>
      <c r="C10" s="46">
        <v>295940879.87469882</v>
      </c>
      <c r="D10" s="46">
        <v>88333188.626506001</v>
      </c>
      <c r="E10" s="46">
        <v>205449544.32771084</v>
      </c>
      <c r="F10" s="46">
        <v>112974658.04233061</v>
      </c>
      <c r="G10" s="46">
        <v>136606296.6878854</v>
      </c>
      <c r="H10" s="46">
        <v>7608033.2626506016</v>
      </c>
      <c r="I10" s="46">
        <v>145491.2470588235</v>
      </c>
      <c r="J10" s="46">
        <v>1010917</v>
      </c>
    </row>
    <row r="11" spans="1:10" x14ac:dyDescent="0.2">
      <c r="A11" s="3">
        <f t="shared" si="1"/>
        <v>2016</v>
      </c>
      <c r="B11" s="5">
        <f t="shared" si="0"/>
        <v>873235927.80642521</v>
      </c>
      <c r="C11" s="46">
        <v>310749015.99036139</v>
      </c>
      <c r="D11" s="46">
        <v>88749928.414457858</v>
      </c>
      <c r="E11" s="46">
        <v>204715589.59036142</v>
      </c>
      <c r="F11" s="46">
        <v>119969236.41206953</v>
      </c>
      <c r="G11" s="46">
        <v>140016226.34772229</v>
      </c>
      <c r="H11" s="46">
        <v>7791989.3204819262</v>
      </c>
      <c r="I11" s="46">
        <v>143844.56470588219</v>
      </c>
      <c r="J11" s="46">
        <v>1100097.1662650602</v>
      </c>
    </row>
    <row r="12" spans="1:10" x14ac:dyDescent="0.2">
      <c r="A12" s="3">
        <f t="shared" si="1"/>
        <v>2017</v>
      </c>
      <c r="B12" s="5">
        <f t="shared" si="0"/>
        <v>859270211.18686926</v>
      </c>
      <c r="C12" s="46">
        <v>294253405.64819276</v>
      </c>
      <c r="D12" s="46">
        <v>82899471.903614432</v>
      </c>
      <c r="E12" s="46">
        <v>213633991.96144572</v>
      </c>
      <c r="F12" s="46">
        <v>121918931.97074634</v>
      </c>
      <c r="G12" s="46">
        <v>137562121.61328822</v>
      </c>
      <c r="H12" s="46">
        <v>7758774.5638554217</v>
      </c>
      <c r="I12" s="46">
        <v>142197.88235294091</v>
      </c>
      <c r="J12" s="46">
        <v>1101315.643373494</v>
      </c>
    </row>
    <row r="13" spans="1:10" x14ac:dyDescent="0.2">
      <c r="A13" s="3">
        <f t="shared" si="1"/>
        <v>2018</v>
      </c>
      <c r="B13" s="5">
        <f t="shared" si="0"/>
        <v>909512508.6674726</v>
      </c>
      <c r="C13" s="46">
        <v>323623192.28915668</v>
      </c>
      <c r="D13" s="46">
        <v>86093744.838554204</v>
      </c>
      <c r="E13" s="46">
        <v>221806792.86746988</v>
      </c>
      <c r="F13" s="46">
        <v>130413203.88434154</v>
      </c>
      <c r="G13" s="46">
        <v>138505562.38313109</v>
      </c>
      <c r="H13" s="46">
        <v>7837155.3349397583</v>
      </c>
      <c r="I13" s="46">
        <v>140551.19999999966</v>
      </c>
      <c r="J13" s="46">
        <v>1092305.8698795179</v>
      </c>
    </row>
    <row r="14" spans="1:10" x14ac:dyDescent="0.2">
      <c r="A14" s="3">
        <f t="shared" si="1"/>
        <v>2019</v>
      </c>
      <c r="B14" s="5">
        <f t="shared" si="0"/>
        <v>907143690.21844316</v>
      </c>
      <c r="C14" s="46">
        <v>316413176.16385555</v>
      </c>
      <c r="D14" s="46">
        <v>83808650.746987954</v>
      </c>
      <c r="E14" s="46">
        <v>220154820.13493976</v>
      </c>
      <c r="F14" s="46">
        <v>134423430.54196733</v>
      </c>
      <c r="G14" s="46">
        <v>144434637.29858762</v>
      </c>
      <c r="H14" s="46">
        <v>6707353.0024096388</v>
      </c>
      <c r="I14" s="46">
        <v>138904.51764705841</v>
      </c>
      <c r="J14" s="46">
        <v>1062717.8120481926</v>
      </c>
    </row>
    <row r="15" spans="1:10" x14ac:dyDescent="0.2">
      <c r="A15" s="3">
        <f t="shared" si="1"/>
        <v>2020</v>
      </c>
      <c r="B15" s="5">
        <f>SUM(C15:J15)</f>
        <v>907891652.55668497</v>
      </c>
      <c r="C15" s="46">
        <v>353805930.95903623</v>
      </c>
      <c r="D15" s="46">
        <v>79694764.992771059</v>
      </c>
      <c r="E15" s="46">
        <v>209733279.5373494</v>
      </c>
      <c r="F15" s="46">
        <v>128841062.06228508</v>
      </c>
      <c r="G15" s="46">
        <v>129179340.58086331</v>
      </c>
      <c r="H15" s="46">
        <v>5438441.1759036137</v>
      </c>
      <c r="I15" s="46">
        <v>137566.58823529384</v>
      </c>
      <c r="J15" s="46">
        <v>1061266.6602409636</v>
      </c>
    </row>
    <row r="16" spans="1:10" x14ac:dyDescent="0.2">
      <c r="A16" s="3">
        <f t="shared" si="1"/>
        <v>2021</v>
      </c>
      <c r="B16" s="5">
        <f>SUM(C16:J16)</f>
        <v>936433540.89398074</v>
      </c>
      <c r="C16" s="46">
        <v>360408160.45301205</v>
      </c>
      <c r="D16" s="46">
        <v>85479169.763855413</v>
      </c>
      <c r="E16" s="46">
        <v>214209551.57590359</v>
      </c>
      <c r="F16" s="46">
        <v>132400892.43957959</v>
      </c>
      <c r="G16" s="46">
        <v>137730887.895365</v>
      </c>
      <c r="H16" s="46">
        <v>5029763.2289156616</v>
      </c>
      <c r="I16" s="46">
        <v>138218.4</v>
      </c>
      <c r="J16" s="46">
        <v>1036897.1373493974</v>
      </c>
    </row>
    <row r="17" spans="1:10" x14ac:dyDescent="0.2">
      <c r="A17" s="3">
        <f t="shared" si="1"/>
        <v>2022</v>
      </c>
      <c r="B17" s="89">
        <f>SUM(C17:J17)</f>
        <v>917096855.39128256</v>
      </c>
      <c r="C17" s="123">
        <v>355307691.12000155</v>
      </c>
      <c r="D17" s="123">
        <f>'GS &lt; 50 kW'!P177</f>
        <v>89237754.790363863</v>
      </c>
      <c r="E17" s="123">
        <f>'GS &gt; 50 kW'!Q178</f>
        <v>220146988.25034407</v>
      </c>
      <c r="F17" s="123">
        <f>F41</f>
        <v>108681342.23086476</v>
      </c>
      <c r="G17" s="90">
        <f>G41</f>
        <v>137482509.95424706</v>
      </c>
      <c r="H17" s="90">
        <f>H38*'Rate Class Customer Model'!Q40</f>
        <v>5051905.8805661034</v>
      </c>
      <c r="I17" s="90">
        <f>I38*'Rate Class Customer Model'!T40</f>
        <v>136514.01728512658</v>
      </c>
      <c r="J17" s="90">
        <f>J38*'Rate Class Customer Model'!W40</f>
        <v>1052149.1476099852</v>
      </c>
    </row>
    <row r="18" spans="1:10" x14ac:dyDescent="0.2">
      <c r="A18" s="3">
        <f t="shared" si="1"/>
        <v>2023</v>
      </c>
      <c r="B18" s="89">
        <f t="shared" si="0"/>
        <v>928598797.99923217</v>
      </c>
      <c r="C18" s="123">
        <v>354712264.72933602</v>
      </c>
      <c r="D18" s="123">
        <f>'GS &lt; 50 kW'!P178</f>
        <v>91878935.418776065</v>
      </c>
      <c r="E18" s="123">
        <f>'GS &gt; 50 kW'!Q179</f>
        <v>229563601.90432838</v>
      </c>
      <c r="F18" s="123">
        <f>F42</f>
        <v>108681342.23086476</v>
      </c>
      <c r="G18" s="90">
        <f>G42</f>
        <v>137482509.95424706</v>
      </c>
      <c r="H18" s="90">
        <f>H39*'Rate Class Customer Model'!Q41</f>
        <v>5077521.8495792095</v>
      </c>
      <c r="I18" s="90">
        <f>I39*'Rate Class Customer Model'!T41</f>
        <v>134830.65145685265</v>
      </c>
      <c r="J18" s="90">
        <f>J39*'Rate Class Customer Model'!W41</f>
        <v>1067791.2606439681</v>
      </c>
    </row>
    <row r="19" spans="1:10" x14ac:dyDescent="0.2">
      <c r="A19" s="3"/>
      <c r="B19" s="89"/>
      <c r="C19" s="122"/>
      <c r="D19" s="122"/>
      <c r="E19" s="122"/>
      <c r="F19" s="122"/>
      <c r="G19" s="89"/>
      <c r="H19" s="89"/>
      <c r="I19" s="89"/>
      <c r="J19" s="89"/>
    </row>
    <row r="20" spans="1:10" x14ac:dyDescent="0.2">
      <c r="A20" s="11" t="s">
        <v>102</v>
      </c>
      <c r="C20" s="5">
        <v>1186506.8036179999</v>
      </c>
      <c r="D20" s="5">
        <v>3301337.770131859</v>
      </c>
      <c r="E20" s="5">
        <v>8236461.1556725316</v>
      </c>
      <c r="F20" s="5">
        <v>5063931.0557399914</v>
      </c>
      <c r="G20" s="5">
        <v>6351209.7982819034</v>
      </c>
    </row>
    <row r="21" spans="1:10" x14ac:dyDescent="0.2">
      <c r="A21" s="27" t="s">
        <v>103</v>
      </c>
      <c r="B21" s="89"/>
    </row>
    <row r="22" spans="1:10" x14ac:dyDescent="0.2">
      <c r="A22">
        <v>2022</v>
      </c>
      <c r="B22" s="89">
        <f t="shared" ref="B22" si="2">SUM(C22:J22)</f>
        <v>892957408.8078382</v>
      </c>
      <c r="C22" s="90">
        <f>C17-C20</f>
        <v>354121184.31638354</v>
      </c>
      <c r="D22" s="90">
        <f>D17-D20</f>
        <v>85936417.020232007</v>
      </c>
      <c r="E22" s="90">
        <f t="shared" ref="E22:J22" si="3">E17-E20</f>
        <v>211910527.09467155</v>
      </c>
      <c r="F22" s="90">
        <f t="shared" si="3"/>
        <v>103617411.17512476</v>
      </c>
      <c r="G22" s="90">
        <f t="shared" si="3"/>
        <v>131131300.15596515</v>
      </c>
      <c r="H22" s="90">
        <f t="shared" si="3"/>
        <v>5051905.8805661034</v>
      </c>
      <c r="I22" s="90">
        <f t="shared" si="3"/>
        <v>136514.01728512658</v>
      </c>
      <c r="J22" s="90">
        <f t="shared" si="3"/>
        <v>1052149.1476099852</v>
      </c>
    </row>
    <row r="23" spans="1:10" x14ac:dyDescent="0.2">
      <c r="A23">
        <v>2023</v>
      </c>
      <c r="B23" s="89">
        <f t="shared" ref="B23" si="4">SUM(C23:J23)</f>
        <v>904459351.41578805</v>
      </c>
      <c r="C23" s="90">
        <f t="shared" ref="C23:J23" si="5">C18-C20</f>
        <v>353525757.92571801</v>
      </c>
      <c r="D23" s="90">
        <f t="shared" si="5"/>
        <v>88577597.648644209</v>
      </c>
      <c r="E23" s="90">
        <f t="shared" si="5"/>
        <v>221327140.74865586</v>
      </c>
      <c r="F23" s="90">
        <f t="shared" si="5"/>
        <v>103617411.17512476</v>
      </c>
      <c r="G23" s="90">
        <f t="shared" si="5"/>
        <v>131131300.15596515</v>
      </c>
      <c r="H23" s="90">
        <f t="shared" si="5"/>
        <v>5077521.8495792095</v>
      </c>
      <c r="I23" s="90">
        <f t="shared" si="5"/>
        <v>134830.65145685265</v>
      </c>
      <c r="J23" s="90">
        <f t="shared" si="5"/>
        <v>1067791.2606439681</v>
      </c>
    </row>
    <row r="24" spans="1:10" x14ac:dyDescent="0.2">
      <c r="H24" s="32"/>
      <c r="I24" s="32"/>
      <c r="J24" s="32"/>
    </row>
    <row r="25" spans="1:10" x14ac:dyDescent="0.2">
      <c r="A25" s="12" t="s">
        <v>104</v>
      </c>
    </row>
    <row r="27" spans="1:10" x14ac:dyDescent="0.2">
      <c r="A27">
        <f t="shared" ref="A27:A35" si="6">A6</f>
        <v>2011</v>
      </c>
      <c r="C27" s="5">
        <f>C6/'Rate Class Customer Model'!B15</f>
        <v>9907.1441728086302</v>
      </c>
      <c r="D27" s="5">
        <f>D6/'Rate Class Customer Model'!E15</f>
        <v>35748.561304021459</v>
      </c>
      <c r="E27" s="5">
        <f>E6/'Rate Class Customer Model'!H15</f>
        <v>731392.10784698057</v>
      </c>
      <c r="F27" s="5">
        <f>F6/'Rate Class Customer Model'!K15</f>
        <v>9712598.9600000009</v>
      </c>
      <c r="G27" s="5">
        <f>G6/'Rate Class Customer Model'!N15</f>
        <v>40168267</v>
      </c>
      <c r="H27" s="5">
        <f>H6/'Rate Class Customer Model'!Q15</f>
        <v>2254.088147497805</v>
      </c>
      <c r="I27" s="5">
        <f>I6/'Rate Class Customer Model'!T15</f>
        <v>595.4124293785311</v>
      </c>
      <c r="J27" s="5">
        <f>J6/'Rate Class Customer Model'!W15</f>
        <v>7002.3773584905657</v>
      </c>
    </row>
    <row r="28" spans="1:10" x14ac:dyDescent="0.2">
      <c r="A28">
        <f t="shared" si="6"/>
        <v>2012</v>
      </c>
      <c r="C28" s="5">
        <f>C7/'Rate Class Customer Model'!B16</f>
        <v>9751.8341288762113</v>
      </c>
      <c r="D28" s="5">
        <f>D7/'Rate Class Customer Model'!E16</f>
        <v>35045.776434420543</v>
      </c>
      <c r="E28" s="5">
        <f>E7/'Rate Class Customer Model'!H16</f>
        <v>715749.04046683037</v>
      </c>
      <c r="F28" s="5">
        <f>F7/'Rate Class Customer Model'!K16</f>
        <v>10748320.916666666</v>
      </c>
      <c r="G28" s="5">
        <f>G7/'Rate Class Customer Model'!N16</f>
        <v>43277313</v>
      </c>
      <c r="H28" s="5">
        <f>H7/'Rate Class Customer Model'!Q16</f>
        <v>2320.4688507893397</v>
      </c>
      <c r="I28" s="5">
        <f>I7/'Rate Class Customer Model'!T16</f>
        <v>587.93962264150946</v>
      </c>
      <c r="J28" s="5">
        <f>J7/'Rate Class Customer Model'!W16</f>
        <v>7008.3957783641163</v>
      </c>
    </row>
    <row r="29" spans="1:10" x14ac:dyDescent="0.2">
      <c r="A29">
        <f t="shared" si="6"/>
        <v>2013</v>
      </c>
      <c r="C29" s="5">
        <f>C8/'Rate Class Customer Model'!B17</f>
        <v>9348.6788505510231</v>
      </c>
      <c r="D29" s="5">
        <f>D8/'Rate Class Customer Model'!E17</f>
        <v>35401.132197437117</v>
      </c>
      <c r="E29" s="5">
        <f>E8/'Rate Class Customer Model'!H17</f>
        <v>746526.43304347829</v>
      </c>
      <c r="F29" s="5">
        <f>F8/'Rate Class Customer Model'!K17</f>
        <v>8752405.5017391294</v>
      </c>
      <c r="G29" s="5">
        <f>G8/'Rate Class Customer Model'!N17</f>
        <v>51172565.960000008</v>
      </c>
      <c r="H29" s="5">
        <f>H8/'Rate Class Customer Model'!Q17</f>
        <v>2344.8152625476232</v>
      </c>
      <c r="I29" s="5">
        <f>I8/'Rate Class Customer Model'!T17</f>
        <v>587.80706333973126</v>
      </c>
      <c r="J29" s="5">
        <f>J8/'Rate Class Customer Model'!W17</f>
        <v>6961.7041666666664</v>
      </c>
    </row>
    <row r="30" spans="1:10" x14ac:dyDescent="0.2">
      <c r="A30">
        <f t="shared" si="6"/>
        <v>2014</v>
      </c>
      <c r="C30" s="5">
        <f>C9/'Rate Class Customer Model'!B18</f>
        <v>9164.9398043013734</v>
      </c>
      <c r="D30" s="5">
        <f>D9/'Rate Class Customer Model'!E18</f>
        <v>35211.749967132564</v>
      </c>
      <c r="E30" s="5">
        <f>E9/'Rate Class Customer Model'!H18</f>
        <v>733183.07595706615</v>
      </c>
      <c r="F30" s="5">
        <f>F9/'Rate Class Customer Model'!K18</f>
        <v>9600972.9495652169</v>
      </c>
      <c r="G30" s="5">
        <f>G9/'Rate Class Customer Model'!N18</f>
        <v>44475966.780000001</v>
      </c>
      <c r="H30" s="5">
        <f>H9/'Rate Class Customer Model'!Q18</f>
        <v>2357.1330978349338</v>
      </c>
      <c r="I30" s="5">
        <f>I9/'Rate Class Customer Model'!T18</f>
        <v>595.67128205128211</v>
      </c>
      <c r="J30" s="5">
        <f>J9/'Rate Class Customer Model'!W18</f>
        <v>7032.9172178477693</v>
      </c>
    </row>
    <row r="31" spans="1:10" x14ac:dyDescent="0.2">
      <c r="A31">
        <f t="shared" si="6"/>
        <v>2015</v>
      </c>
      <c r="C31" s="5">
        <f>C10/'Rate Class Customer Model'!B19</f>
        <v>9045.3159959766435</v>
      </c>
      <c r="D31" s="5">
        <f>D10/'Rate Class Customer Model'!E19</f>
        <v>34615.57911038051</v>
      </c>
      <c r="E31" s="5">
        <f>E10/'Rate Class Customer Model'!H19</f>
        <v>707024.52880198741</v>
      </c>
      <c r="F31" s="5">
        <f>F10/'Rate Class Customer Model'!K19</f>
        <v>8978118.5199203119</v>
      </c>
      <c r="G31" s="5">
        <f>G10/'Rate Class Customer Model'!N19</f>
        <v>45535432.229295135</v>
      </c>
      <c r="H31" s="5">
        <f>H10/'Rate Class Customer Model'!Q19</f>
        <v>2432.4949150540133</v>
      </c>
      <c r="I31" s="5">
        <f>I10/'Rate Class Customer Model'!T19</f>
        <v>583.20000000000005</v>
      </c>
      <c r="J31" s="5">
        <f>J10/'Rate Class Customer Model'!W19</f>
        <v>4879.7280772325021</v>
      </c>
    </row>
    <row r="32" spans="1:10" x14ac:dyDescent="0.2">
      <c r="A32">
        <f t="shared" si="6"/>
        <v>2016</v>
      </c>
      <c r="C32" s="5">
        <f>C11/'Rate Class Customer Model'!B20</f>
        <v>9266.984410552659</v>
      </c>
      <c r="D32" s="5">
        <f>D11/'Rate Class Customer Model'!E20</f>
        <v>34096.338753753618</v>
      </c>
      <c r="E32" s="5">
        <f>E11/'Rate Class Customer Model'!H20</f>
        <v>687734.34352864977</v>
      </c>
      <c r="F32" s="5">
        <f>F11/'Rate Class Customer Model'!K20</f>
        <v>8886610.1045977436</v>
      </c>
      <c r="G32" s="5">
        <f>G11/'Rate Class Customer Model'!N20</f>
        <v>46672075.449240766</v>
      </c>
      <c r="H32" s="5">
        <f>H11/'Rate Class Customer Model'!Q20</f>
        <v>2461.9239559184603</v>
      </c>
      <c r="I32" s="5">
        <f>I11/'Rate Class Customer Model'!T20</f>
        <v>583.19999999999982</v>
      </c>
      <c r="J32" s="5">
        <f>J11/'Rate Class Customer Model'!W20</f>
        <v>4946.109402465614</v>
      </c>
    </row>
    <row r="33" spans="1:11" x14ac:dyDescent="0.2">
      <c r="A33">
        <f t="shared" si="6"/>
        <v>2017</v>
      </c>
      <c r="C33" s="5">
        <f>C12/'Rate Class Customer Model'!B21</f>
        <v>8568.0128015896207</v>
      </c>
      <c r="D33" s="5">
        <f>D12/'Rate Class Customer Model'!E21</f>
        <v>31326.16396408153</v>
      </c>
      <c r="E33" s="5">
        <f>E12/'Rate Class Customer Model'!H21</f>
        <v>669174.6028549592</v>
      </c>
      <c r="F33" s="5">
        <f>F12/'Rate Class Customer Model'!K21</f>
        <v>8127928.7980497563</v>
      </c>
      <c r="G33" s="5">
        <f>G12/'Rate Class Customer Model'!N21</f>
        <v>45854040.537762739</v>
      </c>
      <c r="H33" s="5">
        <f>H12/'Rate Class Customer Model'!Q21</f>
        <v>2401.4778118716804</v>
      </c>
      <c r="I33" s="5">
        <f>I12/'Rate Class Customer Model'!T21</f>
        <v>583.19999999999982</v>
      </c>
      <c r="J33" s="5">
        <f>J12/'Rate Class Customer Model'!W21</f>
        <v>5108.5379669431495</v>
      </c>
    </row>
    <row r="34" spans="1:11" x14ac:dyDescent="0.2">
      <c r="A34">
        <f t="shared" si="6"/>
        <v>2018</v>
      </c>
      <c r="C34" s="5">
        <f>C13/'Rate Class Customer Model'!B22</f>
        <v>9040.72202207378</v>
      </c>
      <c r="D34" s="5">
        <f>D13/'Rate Class Customer Model'!E22</f>
        <v>32053.766189775386</v>
      </c>
      <c r="E34" s="5">
        <f>E13/'Rate Class Customer Model'!H22</f>
        <v>672821.41415814927</v>
      </c>
      <c r="F34" s="5">
        <f>F13/'Rate Class Customer Model'!K22</f>
        <v>9205637.9212476388</v>
      </c>
      <c r="G34" s="5">
        <f>G13/'Rate Class Customer Model'!N22</f>
        <v>46168520.794377029</v>
      </c>
      <c r="H34" s="5">
        <f>H13/'Rate Class Customer Model'!Q22</f>
        <v>2402.6459375867585</v>
      </c>
      <c r="I34" s="5">
        <f>I13/'Rate Class Customer Model'!T22</f>
        <v>583.19999999999993</v>
      </c>
      <c r="J34" s="5">
        <f>J13/'Rate Class Customer Model'!W22</f>
        <v>4985.8008514850571</v>
      </c>
    </row>
    <row r="35" spans="1:11" x14ac:dyDescent="0.2">
      <c r="A35">
        <f t="shared" si="6"/>
        <v>2019</v>
      </c>
      <c r="C35" s="5">
        <f>C14/'Rate Class Customer Model'!B23</f>
        <v>8551.4378239566031</v>
      </c>
      <c r="D35" s="5">
        <f>D14/'Rate Class Customer Model'!E23</f>
        <v>31136.34083479429</v>
      </c>
      <c r="E35" s="5">
        <f>E14/'Rate Class Customer Model'!H23</f>
        <v>643100.74041365075</v>
      </c>
      <c r="F35" s="5">
        <f>F14/'Rate Class Customer Model'!K23</f>
        <v>9601673.6101405229</v>
      </c>
      <c r="G35" s="5">
        <f>G14/'Rate Class Customer Model'!N23</f>
        <v>48144879.099529207</v>
      </c>
      <c r="H35" s="5">
        <f>H14/'Rate Class Customer Model'!Q23</f>
        <v>2045.3923922877605</v>
      </c>
      <c r="I35" s="5">
        <f>I14/'Rate Class Customer Model'!T23</f>
        <v>583.19999999999993</v>
      </c>
      <c r="J35" s="5">
        <f>J14/'Rate Class Customer Model'!W23</f>
        <v>4904.8514402224273</v>
      </c>
    </row>
    <row r="36" spans="1:11" x14ac:dyDescent="0.2">
      <c r="A36">
        <f>A35+1</f>
        <v>2020</v>
      </c>
      <c r="C36" s="5">
        <f>C15/'Rate Class Customer Model'!B24</f>
        <v>9383.3000822338563</v>
      </c>
      <c r="D36" s="5">
        <f>D15/'Rate Class Customer Model'!E24</f>
        <v>29246.67971232309</v>
      </c>
      <c r="E36" s="5">
        <f>E15/'Rate Class Customer Model'!H24</f>
        <v>594566.34879475378</v>
      </c>
      <c r="F36" s="5">
        <f>F15/'Rate Class Customer Model'!K24</f>
        <v>8834815.6842709761</v>
      </c>
      <c r="G36" s="5">
        <f>G15/'Rate Class Customer Model'!N24</f>
        <v>43059780.193621106</v>
      </c>
      <c r="H36" s="5">
        <f>H15/'Rate Class Customer Model'!Q24</f>
        <v>1690.1971058478805</v>
      </c>
      <c r="I36" s="5">
        <f>I15/'Rate Class Customer Model'!T24</f>
        <v>583.20000000000005</v>
      </c>
      <c r="J36" s="5">
        <f>J15/'Rate Class Customer Model'!W24</f>
        <v>4918.9648215108391</v>
      </c>
    </row>
    <row r="37" spans="1:11" x14ac:dyDescent="0.2">
      <c r="A37">
        <f t="shared" ref="A37:A39" si="7">A36+1</f>
        <v>2021</v>
      </c>
      <c r="C37" s="5">
        <f>C16/'Rate Class Customer Model'!B25</f>
        <v>9363.3789615305304</v>
      </c>
      <c r="D37" s="5">
        <f>D16/'Rate Class Customer Model'!E25</f>
        <v>29724.131014119939</v>
      </c>
      <c r="E37" s="5">
        <f>E16/'Rate Class Customer Model'!H25</f>
        <v>621648.0335939161</v>
      </c>
      <c r="F37" s="5">
        <f>F16/'Rate Class Customer Model'!K25</f>
        <v>9513836.5824847613</v>
      </c>
      <c r="G37" s="5">
        <f>G16/'Rate Class Customer Model'!N25</f>
        <v>45910295.965121664</v>
      </c>
      <c r="H37" s="5">
        <f>H16/'Rate Class Customer Model'!Q25</f>
        <v>1739.2278166105164</v>
      </c>
      <c r="I37" s="5">
        <f>I16/'Rate Class Customer Model'!T25</f>
        <v>583.19999999999993</v>
      </c>
      <c r="J37" s="5">
        <f>J16/'Rate Class Customer Model'!W25</f>
        <v>4791.2074117030306</v>
      </c>
    </row>
    <row r="38" spans="1:11" x14ac:dyDescent="0.2">
      <c r="A38">
        <f t="shared" si="7"/>
        <v>2022</v>
      </c>
      <c r="C38" s="89">
        <f>C17/'Rate Class Customer Model'!B40</f>
        <v>9057.2134598546127</v>
      </c>
      <c r="D38" s="89">
        <f>D17/'Rate Class Customer Model'!E40</f>
        <v>30285.193253005269</v>
      </c>
      <c r="E38" s="89">
        <f>E17/'Rate Class Customer Model'!H40</f>
        <v>661391.78558445536</v>
      </c>
      <c r="F38" s="89">
        <f>F17/'Rate Class Customer Model'!K40</f>
        <v>9056778.5192387309</v>
      </c>
      <c r="G38" s="89">
        <f>G17/'Rate Class Customer Model'!N40</f>
        <v>45827503.318082355</v>
      </c>
      <c r="H38" s="122">
        <f>H37</f>
        <v>1739.2278166105164</v>
      </c>
      <c r="I38" s="122">
        <f t="shared" ref="I38:J39" si="8">I37</f>
        <v>583.19999999999993</v>
      </c>
      <c r="J38" s="122">
        <f t="shared" si="8"/>
        <v>4791.2074117030306</v>
      </c>
    </row>
    <row r="39" spans="1:11" x14ac:dyDescent="0.2">
      <c r="A39">
        <f t="shared" si="7"/>
        <v>2023</v>
      </c>
      <c r="C39" s="89">
        <f>C18/'Rate Class Customer Model'!B41</f>
        <v>8848.4322384779043</v>
      </c>
      <c r="D39" s="89">
        <f>D18/'Rate Class Customer Model'!E27</f>
        <v>30956.703125462827</v>
      </c>
      <c r="E39" s="89">
        <f>E18/'Rate Class Customer Model'!H41</f>
        <v>667509.84163359751</v>
      </c>
      <c r="F39" s="89">
        <f>F18/'Rate Class Customer Model'!K41</f>
        <v>9056778.5192387309</v>
      </c>
      <c r="G39" s="89">
        <f>G18/'Rate Class Customer Model'!N41</f>
        <v>45827503.318082355</v>
      </c>
      <c r="H39" s="122">
        <f>H38</f>
        <v>1739.2278166105164</v>
      </c>
      <c r="I39" s="122">
        <f t="shared" si="8"/>
        <v>583.19999999999993</v>
      </c>
      <c r="J39" s="122">
        <f t="shared" si="8"/>
        <v>4791.2074117030306</v>
      </c>
    </row>
    <row r="40" spans="1:11" x14ac:dyDescent="0.2">
      <c r="F40" s="40"/>
      <c r="G40" s="21"/>
    </row>
    <row r="41" spans="1:11" x14ac:dyDescent="0.2">
      <c r="F41" s="49">
        <f>AVERAGE(F33:F37)*'Rate Class Customer Model'!K40</f>
        <v>108681342.23086476</v>
      </c>
      <c r="G41" s="49">
        <f>AVERAGE(G33:G37)*'Rate Class Customer Model'!N40</f>
        <v>137482509.95424706</v>
      </c>
      <c r="H41" s="91"/>
      <c r="I41" s="91"/>
      <c r="J41" s="91"/>
    </row>
    <row r="42" spans="1:11" x14ac:dyDescent="0.2">
      <c r="F42" s="49">
        <f>AVERAGE(F33:F37)*'Rate Class Customer Model'!K41</f>
        <v>108681342.23086476</v>
      </c>
      <c r="G42" s="49">
        <f>AVERAGE(G33:G37)*'Rate Class Customer Model'!N41</f>
        <v>137482509.95424706</v>
      </c>
      <c r="H42" s="91"/>
      <c r="I42" s="91"/>
      <c r="J42" s="91"/>
    </row>
    <row r="43" spans="1:11" x14ac:dyDescent="0.2">
      <c r="K43" s="19"/>
    </row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</sheetData>
  <mergeCells count="3">
    <mergeCell ref="C1:J1"/>
    <mergeCell ref="G5:J5"/>
    <mergeCell ref="C5:F5"/>
  </mergeCells>
  <phoneticPr fontId="0" type="noConversion"/>
  <pageMargins left="0.38" right="0.75" top="0.73" bottom="0.74" header="0.5" footer="0.5"/>
  <pageSetup scale="29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AE146"/>
  <sheetViews>
    <sheetView zoomScale="90" zoomScaleNormal="90" workbookViewId="0">
      <pane xSplit="1" ySplit="2" topLeftCell="B9" activePane="bottomRight" state="frozen"/>
      <selection activeCell="V159" sqref="V159"/>
      <selection pane="topRight" activeCell="V159" sqref="V159"/>
      <selection pane="bottomLeft" activeCell="V159" sqref="V159"/>
      <selection pane="bottomRight" activeCell="E61" sqref="E61"/>
    </sheetView>
  </sheetViews>
  <sheetFormatPr defaultRowHeight="12.75" x14ac:dyDescent="0.2"/>
  <cols>
    <col min="1" max="1" width="14.42578125" bestFit="1" customWidth="1"/>
    <col min="2" max="2" width="11.140625" style="5" bestFit="1" customWidth="1"/>
    <col min="3" max="3" width="10.140625" style="5" bestFit="1" customWidth="1"/>
    <col min="4" max="4" width="4.140625" style="5" customWidth="1"/>
    <col min="5" max="5" width="11.140625" style="5" bestFit="1" customWidth="1"/>
    <col min="6" max="6" width="10.140625" style="5" bestFit="1" customWidth="1"/>
    <col min="7" max="7" width="3.28515625" style="5" customWidth="1"/>
    <col min="8" max="8" width="11.140625" style="5" bestFit="1" customWidth="1"/>
    <col min="9" max="9" width="10.140625" style="5" bestFit="1" customWidth="1"/>
    <col min="10" max="10" width="5.140625" style="5" customWidth="1"/>
    <col min="11" max="11" width="11.140625" style="5" bestFit="1" customWidth="1"/>
    <col min="12" max="12" width="10.140625" style="5" bestFit="1" customWidth="1"/>
    <col min="13" max="13" width="3" style="5" customWidth="1"/>
    <col min="14" max="14" width="11.140625" style="5" bestFit="1" customWidth="1"/>
    <col min="15" max="15" width="10.140625" style="5" bestFit="1" customWidth="1"/>
    <col min="16" max="16" width="3.28515625" style="5" customWidth="1"/>
    <col min="17" max="17" width="12.7109375" style="5" bestFit="1" customWidth="1"/>
    <col min="18" max="18" width="10.140625" style="5" bestFit="1" customWidth="1"/>
    <col min="19" max="19" width="5" style="5" customWidth="1"/>
    <col min="20" max="20" width="12.7109375" style="5" bestFit="1" customWidth="1"/>
    <col min="21" max="21" width="10.140625" style="5" bestFit="1" customWidth="1"/>
    <col min="22" max="22" width="4.85546875" style="5" customWidth="1"/>
    <col min="23" max="23" width="12.7109375" style="5" bestFit="1" customWidth="1"/>
    <col min="24" max="24" width="12.5703125" style="5" customWidth="1"/>
    <col min="25" max="25" width="4.28515625" style="5" customWidth="1"/>
    <col min="26" max="26" width="8.140625" style="5" bestFit="1" customWidth="1"/>
    <col min="27" max="27" width="12.7109375" style="5" bestFit="1" customWidth="1"/>
    <col min="28" max="28" width="11.7109375" style="5" bestFit="1" customWidth="1"/>
    <col min="29" max="29" width="10.7109375" style="5" bestFit="1" customWidth="1"/>
    <col min="30" max="30" width="11.85546875" style="5" bestFit="1" customWidth="1"/>
    <col min="31" max="31" width="9.140625" style="5"/>
  </cols>
  <sheetData>
    <row r="2" spans="1:30" x14ac:dyDescent="0.2">
      <c r="B2" s="142" t="s">
        <v>96</v>
      </c>
      <c r="C2" s="142"/>
      <c r="D2" s="38"/>
      <c r="E2" s="139" t="s">
        <v>69</v>
      </c>
      <c r="F2" s="139"/>
      <c r="G2" s="44"/>
      <c r="H2" s="139" t="s">
        <v>70</v>
      </c>
      <c r="I2" s="139"/>
      <c r="J2" s="44"/>
      <c r="K2" s="139" t="s">
        <v>57</v>
      </c>
      <c r="L2" s="139"/>
      <c r="M2" s="44"/>
      <c r="N2" s="139" t="s">
        <v>65</v>
      </c>
      <c r="O2" s="139"/>
      <c r="P2" s="44"/>
      <c r="Q2" s="139" t="s">
        <v>100</v>
      </c>
      <c r="R2" s="139"/>
      <c r="S2" s="44"/>
      <c r="T2" s="139" t="s">
        <v>66</v>
      </c>
      <c r="U2" s="139"/>
      <c r="V2" s="44"/>
      <c r="W2" s="139" t="s">
        <v>101</v>
      </c>
      <c r="X2" s="139"/>
      <c r="Y2" s="45"/>
      <c r="Z2" s="38" t="s">
        <v>13</v>
      </c>
      <c r="AB2" s="37" t="s">
        <v>105</v>
      </c>
    </row>
    <row r="3" spans="1:30" x14ac:dyDescent="0.2">
      <c r="B3" s="43" t="s">
        <v>67</v>
      </c>
      <c r="C3" s="43" t="s">
        <v>106</v>
      </c>
      <c r="D3" s="43"/>
      <c r="E3" s="43" t="s">
        <v>67</v>
      </c>
      <c r="F3" s="43" t="s">
        <v>106</v>
      </c>
      <c r="G3" s="44"/>
      <c r="H3" s="43" t="s">
        <v>67</v>
      </c>
      <c r="I3" s="43" t="s">
        <v>106</v>
      </c>
      <c r="J3" s="44"/>
      <c r="K3" s="43" t="s">
        <v>67</v>
      </c>
      <c r="L3" s="43" t="s">
        <v>106</v>
      </c>
      <c r="M3" s="44"/>
      <c r="N3" s="43" t="s">
        <v>67</v>
      </c>
      <c r="O3" s="43" t="s">
        <v>106</v>
      </c>
      <c r="P3" s="44"/>
      <c r="Q3" s="43" t="s">
        <v>68</v>
      </c>
      <c r="R3" s="43" t="s">
        <v>106</v>
      </c>
      <c r="S3" s="45"/>
      <c r="T3" s="43" t="s">
        <v>68</v>
      </c>
      <c r="U3" s="43" t="s">
        <v>106</v>
      </c>
      <c r="V3" s="45"/>
      <c r="W3" s="43" t="s">
        <v>68</v>
      </c>
      <c r="X3" s="43" t="s">
        <v>106</v>
      </c>
      <c r="Y3" s="45"/>
      <c r="Z3" s="38"/>
      <c r="AB3" s="37"/>
    </row>
    <row r="4" spans="1:30" x14ac:dyDescent="0.2">
      <c r="A4" s="3">
        <v>2000</v>
      </c>
      <c r="B4" s="83">
        <v>9354</v>
      </c>
      <c r="C4" s="114"/>
      <c r="D4" s="83"/>
      <c r="E4" s="83">
        <v>1715</v>
      </c>
      <c r="F4" s="114"/>
      <c r="G4" s="83"/>
      <c r="H4" s="83">
        <v>183</v>
      </c>
      <c r="I4" s="114"/>
      <c r="J4" s="83"/>
      <c r="K4" s="82">
        <v>12</v>
      </c>
      <c r="L4" s="114"/>
      <c r="M4" s="82"/>
      <c r="N4" s="82">
        <v>1</v>
      </c>
      <c r="O4" s="114"/>
      <c r="P4" s="82"/>
      <c r="Q4" s="105">
        <v>2242</v>
      </c>
      <c r="R4" s="114"/>
      <c r="S4" s="105"/>
      <c r="T4" s="82">
        <v>328</v>
      </c>
      <c r="U4" s="114"/>
      <c r="V4" s="82"/>
      <c r="W4" s="83">
        <v>0</v>
      </c>
      <c r="X4" s="114"/>
      <c r="Y4" s="83"/>
      <c r="Z4" s="83">
        <f t="shared" ref="Z4:Z24" si="0">B4+E4+H4+K4+N4+Q4+T4+W4</f>
        <v>13835</v>
      </c>
      <c r="AB4" s="130">
        <f t="shared" ref="AB4:AB17" si="1">+B4+E4+H4+K4+N4</f>
        <v>11265</v>
      </c>
      <c r="AC4" s="128"/>
    </row>
    <row r="5" spans="1:30" x14ac:dyDescent="0.2">
      <c r="A5" s="3">
        <v>2001</v>
      </c>
      <c r="B5" s="82">
        <v>9551</v>
      </c>
      <c r="C5" s="114">
        <f t="shared" ref="C5:C25" si="2">B5/B4</f>
        <v>1.0210605088732094</v>
      </c>
      <c r="D5" s="82"/>
      <c r="E5" s="82">
        <v>1705</v>
      </c>
      <c r="F5" s="114">
        <f t="shared" ref="F5:F25" si="3">E5/E4</f>
        <v>0.99416909620991256</v>
      </c>
      <c r="G5" s="82"/>
      <c r="H5" s="82">
        <v>188.5</v>
      </c>
      <c r="I5" s="114">
        <f t="shared" ref="I5:I25" si="4">H5/H4</f>
        <v>1.0300546448087431</v>
      </c>
      <c r="J5" s="82"/>
      <c r="K5" s="82">
        <v>11</v>
      </c>
      <c r="L5" s="114">
        <f t="shared" ref="L5:L25" si="5">K5/K4</f>
        <v>0.91666666666666663</v>
      </c>
      <c r="M5" s="82"/>
      <c r="N5" s="82">
        <v>1</v>
      </c>
      <c r="O5" s="114">
        <f t="shared" ref="O5:O25" si="6">N5/N4</f>
        <v>1</v>
      </c>
      <c r="P5" s="82"/>
      <c r="Q5" s="105">
        <v>2263.5</v>
      </c>
      <c r="R5" s="114">
        <f t="shared" ref="R5:R25" si="7">Q5/Q4</f>
        <v>1.0095896520963425</v>
      </c>
      <c r="S5" s="105"/>
      <c r="T5" s="82">
        <v>328.5</v>
      </c>
      <c r="U5" s="114">
        <f t="shared" ref="U5:U25" si="8">T5/T4</f>
        <v>1.0015243902439024</v>
      </c>
      <c r="V5" s="82"/>
      <c r="W5" s="82">
        <v>55</v>
      </c>
      <c r="X5" s="114"/>
      <c r="Y5" s="82"/>
      <c r="Z5" s="83">
        <f t="shared" si="0"/>
        <v>14103.5</v>
      </c>
      <c r="AB5" s="130">
        <f t="shared" si="1"/>
        <v>11456.5</v>
      </c>
      <c r="AC5" s="128"/>
    </row>
    <row r="6" spans="1:30" x14ac:dyDescent="0.2">
      <c r="A6" s="3">
        <v>2002</v>
      </c>
      <c r="B6" s="82">
        <v>11003.5</v>
      </c>
      <c r="C6" s="114">
        <f t="shared" si="2"/>
        <v>1.152078316406659</v>
      </c>
      <c r="D6" s="82"/>
      <c r="E6" s="82">
        <v>1706.5</v>
      </c>
      <c r="F6" s="114">
        <f t="shared" si="3"/>
        <v>1.0008797653958945</v>
      </c>
      <c r="G6" s="82"/>
      <c r="H6" s="82">
        <v>205</v>
      </c>
      <c r="I6" s="114">
        <f t="shared" si="4"/>
        <v>1.0875331564986737</v>
      </c>
      <c r="J6" s="82"/>
      <c r="K6" s="82">
        <v>10</v>
      </c>
      <c r="L6" s="114">
        <f t="shared" si="5"/>
        <v>0.90909090909090906</v>
      </c>
      <c r="M6" s="82"/>
      <c r="N6" s="82">
        <v>1.5</v>
      </c>
      <c r="O6" s="114">
        <f t="shared" si="6"/>
        <v>1.5</v>
      </c>
      <c r="P6" s="82"/>
      <c r="Q6" s="105">
        <v>2315.5</v>
      </c>
      <c r="R6" s="114">
        <f t="shared" si="7"/>
        <v>1.0229732714822177</v>
      </c>
      <c r="S6" s="105"/>
      <c r="T6" s="82">
        <v>315</v>
      </c>
      <c r="U6" s="114">
        <f t="shared" si="8"/>
        <v>0.95890410958904104</v>
      </c>
      <c r="V6" s="82"/>
      <c r="W6" s="82">
        <v>112</v>
      </c>
      <c r="X6" s="114">
        <f t="shared" ref="X6:X25" si="9">W6/W5</f>
        <v>2.0363636363636362</v>
      </c>
      <c r="Y6" s="82"/>
      <c r="Z6" s="83">
        <f t="shared" si="0"/>
        <v>15669</v>
      </c>
      <c r="AB6" s="130">
        <f t="shared" si="1"/>
        <v>12926.5</v>
      </c>
      <c r="AC6" s="128"/>
    </row>
    <row r="7" spans="1:30" x14ac:dyDescent="0.2">
      <c r="A7" s="3">
        <v>2003</v>
      </c>
      <c r="B7" s="82">
        <v>13067.5</v>
      </c>
      <c r="C7" s="114">
        <f t="shared" si="2"/>
        <v>1.1875766801472258</v>
      </c>
      <c r="D7" s="82"/>
      <c r="E7" s="82">
        <v>1736.5</v>
      </c>
      <c r="F7" s="114">
        <f t="shared" si="3"/>
        <v>1.0175798417814239</v>
      </c>
      <c r="G7" s="82"/>
      <c r="H7" s="82">
        <v>215</v>
      </c>
      <c r="I7" s="114">
        <f t="shared" si="4"/>
        <v>1.0487804878048781</v>
      </c>
      <c r="J7" s="82"/>
      <c r="K7" s="82">
        <v>10</v>
      </c>
      <c r="L7" s="114">
        <f t="shared" si="5"/>
        <v>1</v>
      </c>
      <c r="M7" s="82"/>
      <c r="N7" s="82">
        <v>2</v>
      </c>
      <c r="O7" s="114">
        <f t="shared" si="6"/>
        <v>1.3333333333333333</v>
      </c>
      <c r="P7" s="82"/>
      <c r="Q7" s="105">
        <v>2378</v>
      </c>
      <c r="R7" s="114">
        <f t="shared" si="7"/>
        <v>1.0269920103649319</v>
      </c>
      <c r="S7" s="105"/>
      <c r="T7" s="82">
        <v>306</v>
      </c>
      <c r="U7" s="114">
        <f t="shared" si="8"/>
        <v>0.97142857142857142</v>
      </c>
      <c r="V7" s="82"/>
      <c r="W7" s="82">
        <v>118</v>
      </c>
      <c r="X7" s="114">
        <f t="shared" si="9"/>
        <v>1.0535714285714286</v>
      </c>
      <c r="Y7" s="82"/>
      <c r="Z7" s="83">
        <f t="shared" si="0"/>
        <v>17833</v>
      </c>
      <c r="AB7" s="130">
        <f t="shared" si="1"/>
        <v>15031</v>
      </c>
      <c r="AC7" s="128"/>
    </row>
    <row r="8" spans="1:30" x14ac:dyDescent="0.2">
      <c r="A8" s="3">
        <v>2004</v>
      </c>
      <c r="B8" s="82">
        <v>14790.5</v>
      </c>
      <c r="C8" s="114">
        <f t="shared" si="2"/>
        <v>1.1318538358523054</v>
      </c>
      <c r="D8" s="82"/>
      <c r="E8" s="82">
        <v>1781.5</v>
      </c>
      <c r="F8" s="114">
        <f t="shared" si="3"/>
        <v>1.0259141952202706</v>
      </c>
      <c r="G8" s="82"/>
      <c r="H8" s="82">
        <v>220.5</v>
      </c>
      <c r="I8" s="114">
        <f t="shared" si="4"/>
        <v>1.0255813953488373</v>
      </c>
      <c r="J8" s="82"/>
      <c r="K8" s="82">
        <v>10</v>
      </c>
      <c r="L8" s="114">
        <f t="shared" si="5"/>
        <v>1</v>
      </c>
      <c r="M8" s="82"/>
      <c r="N8" s="82">
        <v>2</v>
      </c>
      <c r="O8" s="114">
        <f t="shared" si="6"/>
        <v>1</v>
      </c>
      <c r="P8" s="82"/>
      <c r="Q8" s="105">
        <v>2437</v>
      </c>
      <c r="R8" s="114">
        <f t="shared" si="7"/>
        <v>1.0248107653490328</v>
      </c>
      <c r="S8" s="105"/>
      <c r="T8" s="82">
        <v>310</v>
      </c>
      <c r="U8" s="114">
        <f t="shared" si="8"/>
        <v>1.0130718954248366</v>
      </c>
      <c r="V8" s="82"/>
      <c r="W8" s="82">
        <v>129.5</v>
      </c>
      <c r="X8" s="114">
        <f t="shared" si="9"/>
        <v>1.097457627118644</v>
      </c>
      <c r="Y8" s="82"/>
      <c r="Z8" s="83">
        <f t="shared" si="0"/>
        <v>19681</v>
      </c>
      <c r="AB8" s="130">
        <f t="shared" si="1"/>
        <v>16804.5</v>
      </c>
      <c r="AC8" s="128"/>
    </row>
    <row r="9" spans="1:30" x14ac:dyDescent="0.2">
      <c r="A9" s="3">
        <v>2005</v>
      </c>
      <c r="B9" s="82">
        <v>16685.5</v>
      </c>
      <c r="C9" s="114">
        <f t="shared" si="2"/>
        <v>1.1281227815151618</v>
      </c>
      <c r="D9" s="82"/>
      <c r="E9" s="82">
        <v>1896.5</v>
      </c>
      <c r="F9" s="114">
        <f t="shared" si="3"/>
        <v>1.0645523435307325</v>
      </c>
      <c r="G9" s="82"/>
      <c r="H9" s="82">
        <v>236.5</v>
      </c>
      <c r="I9" s="114">
        <f t="shared" si="4"/>
        <v>1.0725623582766439</v>
      </c>
      <c r="J9" s="82"/>
      <c r="K9" s="82">
        <v>10.5</v>
      </c>
      <c r="L9" s="114">
        <f t="shared" si="5"/>
        <v>1.05</v>
      </c>
      <c r="M9" s="82"/>
      <c r="N9" s="82">
        <v>2</v>
      </c>
      <c r="O9" s="114">
        <f t="shared" si="6"/>
        <v>1</v>
      </c>
      <c r="P9" s="82"/>
      <c r="Q9" s="105">
        <v>2497.5</v>
      </c>
      <c r="R9" s="114">
        <f t="shared" si="7"/>
        <v>1.0248256052523594</v>
      </c>
      <c r="S9" s="105"/>
      <c r="T9" s="82">
        <v>303.5</v>
      </c>
      <c r="U9" s="114">
        <f t="shared" si="8"/>
        <v>0.9790322580645161</v>
      </c>
      <c r="V9" s="82"/>
      <c r="W9" s="82">
        <v>138</v>
      </c>
      <c r="X9" s="114">
        <f t="shared" si="9"/>
        <v>1.0656370656370657</v>
      </c>
      <c r="Y9" s="82"/>
      <c r="Z9" s="83">
        <f t="shared" si="0"/>
        <v>21770</v>
      </c>
      <c r="AB9" s="130">
        <f t="shared" si="1"/>
        <v>18831</v>
      </c>
      <c r="AC9" s="128"/>
    </row>
    <row r="10" spans="1:30" x14ac:dyDescent="0.2">
      <c r="A10" s="3">
        <v>2006</v>
      </c>
      <c r="B10" s="82">
        <v>18165.5</v>
      </c>
      <c r="C10" s="114">
        <f t="shared" si="2"/>
        <v>1.0886997692607354</v>
      </c>
      <c r="D10" s="82"/>
      <c r="E10" s="82">
        <v>1994</v>
      </c>
      <c r="F10" s="114">
        <f t="shared" si="3"/>
        <v>1.0514104930134458</v>
      </c>
      <c r="G10" s="82"/>
      <c r="H10" s="82">
        <v>244.5</v>
      </c>
      <c r="I10" s="114">
        <f t="shared" si="4"/>
        <v>1.0338266384778012</v>
      </c>
      <c r="J10" s="82"/>
      <c r="K10" s="82">
        <v>12</v>
      </c>
      <c r="L10" s="114">
        <f t="shared" si="5"/>
        <v>1.1428571428571428</v>
      </c>
      <c r="M10" s="82"/>
      <c r="N10" s="82">
        <v>2</v>
      </c>
      <c r="O10" s="114">
        <f t="shared" si="6"/>
        <v>1</v>
      </c>
      <c r="P10" s="82"/>
      <c r="Q10" s="105">
        <v>2554</v>
      </c>
      <c r="R10" s="114">
        <f t="shared" si="7"/>
        <v>1.0226226226226227</v>
      </c>
      <c r="S10" s="105"/>
      <c r="T10" s="82">
        <v>296.5</v>
      </c>
      <c r="U10" s="114">
        <f t="shared" si="8"/>
        <v>0.97693574958813834</v>
      </c>
      <c r="V10" s="82"/>
      <c r="W10" s="82">
        <v>140.5</v>
      </c>
      <c r="X10" s="114">
        <f t="shared" si="9"/>
        <v>1.0181159420289856</v>
      </c>
      <c r="Y10" s="82"/>
      <c r="Z10" s="83">
        <f t="shared" si="0"/>
        <v>23409</v>
      </c>
      <c r="AB10" s="130">
        <f t="shared" si="1"/>
        <v>20418</v>
      </c>
      <c r="AC10" s="128"/>
    </row>
    <row r="11" spans="1:30" x14ac:dyDescent="0.2">
      <c r="A11" s="3">
        <v>2007</v>
      </c>
      <c r="B11" s="82">
        <v>19512.5</v>
      </c>
      <c r="C11" s="114">
        <f t="shared" si="2"/>
        <v>1.0741515510170379</v>
      </c>
      <c r="D11" s="82"/>
      <c r="E11" s="82">
        <v>2023.2162883845126</v>
      </c>
      <c r="F11" s="114">
        <f t="shared" si="3"/>
        <v>1.0146521004937374</v>
      </c>
      <c r="G11" s="82"/>
      <c r="H11" s="82">
        <v>259</v>
      </c>
      <c r="I11" s="114">
        <f t="shared" si="4"/>
        <v>1.0593047034764826</v>
      </c>
      <c r="J11" s="82"/>
      <c r="K11" s="82">
        <v>13.5</v>
      </c>
      <c r="L11" s="114">
        <f t="shared" si="5"/>
        <v>1.125</v>
      </c>
      <c r="M11" s="82"/>
      <c r="N11" s="82">
        <v>2</v>
      </c>
      <c r="O11" s="114">
        <f t="shared" si="6"/>
        <v>1</v>
      </c>
      <c r="P11" s="82"/>
      <c r="Q11" s="105">
        <v>2606.5</v>
      </c>
      <c r="R11" s="114">
        <f t="shared" si="7"/>
        <v>1.0205559906029757</v>
      </c>
      <c r="S11" s="105"/>
      <c r="T11" s="82">
        <v>292.5</v>
      </c>
      <c r="U11" s="114">
        <f t="shared" si="8"/>
        <v>0.98650927487352447</v>
      </c>
      <c r="V11" s="82"/>
      <c r="W11" s="82">
        <v>155.28371161548731</v>
      </c>
      <c r="X11" s="114">
        <f t="shared" si="9"/>
        <v>1.105222146729447</v>
      </c>
      <c r="Y11" s="82"/>
      <c r="Z11" s="83">
        <f t="shared" si="0"/>
        <v>24864.5</v>
      </c>
      <c r="AB11" s="130">
        <f t="shared" si="1"/>
        <v>21810.216288384512</v>
      </c>
      <c r="AC11" s="128"/>
    </row>
    <row r="12" spans="1:30" x14ac:dyDescent="0.2">
      <c r="A12" s="3">
        <v>2008</v>
      </c>
      <c r="B12" s="82">
        <v>21530</v>
      </c>
      <c r="C12" s="114">
        <f t="shared" si="2"/>
        <v>1.103395259449071</v>
      </c>
      <c r="D12" s="82"/>
      <c r="E12" s="82">
        <v>2091.9998004488557</v>
      </c>
      <c r="F12" s="114">
        <f t="shared" si="3"/>
        <v>1.0339971126464511</v>
      </c>
      <c r="G12" s="82"/>
      <c r="H12" s="82">
        <v>273.5</v>
      </c>
      <c r="I12" s="114">
        <f t="shared" si="4"/>
        <v>1.055984555984556</v>
      </c>
      <c r="J12" s="82"/>
      <c r="K12" s="82">
        <v>14</v>
      </c>
      <c r="L12" s="114">
        <f t="shared" si="5"/>
        <v>1.037037037037037</v>
      </c>
      <c r="M12" s="82"/>
      <c r="N12" s="82">
        <v>2</v>
      </c>
      <c r="O12" s="114">
        <f t="shared" si="6"/>
        <v>1</v>
      </c>
      <c r="P12" s="82"/>
      <c r="Q12" s="105">
        <v>2671.5</v>
      </c>
      <c r="R12" s="114">
        <f t="shared" si="7"/>
        <v>1.0249376558603491</v>
      </c>
      <c r="S12" s="105"/>
      <c r="T12" s="82">
        <v>289</v>
      </c>
      <c r="U12" s="114">
        <f t="shared" si="8"/>
        <v>0.98803418803418808</v>
      </c>
      <c r="V12" s="82"/>
      <c r="W12" s="82">
        <v>172.50019955114414</v>
      </c>
      <c r="X12" s="114">
        <f t="shared" si="9"/>
        <v>1.110871177385869</v>
      </c>
      <c r="Y12" s="82"/>
      <c r="Z12" s="83">
        <f t="shared" si="0"/>
        <v>27044.5</v>
      </c>
      <c r="AB12" s="130">
        <f t="shared" si="1"/>
        <v>23911.499800448855</v>
      </c>
      <c r="AC12" s="128"/>
    </row>
    <row r="13" spans="1:30" x14ac:dyDescent="0.2">
      <c r="A13" s="3">
        <v>2009</v>
      </c>
      <c r="B13" s="82">
        <v>23793.5</v>
      </c>
      <c r="C13" s="114">
        <f t="shared" si="2"/>
        <v>1.1051323734324199</v>
      </c>
      <c r="D13" s="82"/>
      <c r="E13" s="82">
        <v>2169.2835120643431</v>
      </c>
      <c r="F13" s="114">
        <f t="shared" si="3"/>
        <v>1.0369425042960834</v>
      </c>
      <c r="G13" s="82"/>
      <c r="H13" s="82">
        <v>274.5</v>
      </c>
      <c r="I13" s="114">
        <f t="shared" si="4"/>
        <v>1.0036563071297988</v>
      </c>
      <c r="J13" s="82"/>
      <c r="K13" s="82">
        <v>13.167</v>
      </c>
      <c r="L13" s="114">
        <f t="shared" si="5"/>
        <v>0.9405</v>
      </c>
      <c r="M13" s="82"/>
      <c r="N13" s="82">
        <v>2</v>
      </c>
      <c r="O13" s="114">
        <f t="shared" si="6"/>
        <v>1</v>
      </c>
      <c r="P13" s="82"/>
      <c r="Q13" s="105">
        <v>2741.5</v>
      </c>
      <c r="R13" s="114">
        <f t="shared" si="7"/>
        <v>1.0262025079543329</v>
      </c>
      <c r="S13" s="105"/>
      <c r="T13" s="82">
        <v>283.5</v>
      </c>
      <c r="U13" s="114">
        <f t="shared" si="8"/>
        <v>0.98096885813148793</v>
      </c>
      <c r="V13" s="82"/>
      <c r="W13" s="82">
        <v>179.7164879356568</v>
      </c>
      <c r="X13" s="114">
        <f t="shared" si="9"/>
        <v>1.0418335074584835</v>
      </c>
      <c r="Y13" s="82"/>
      <c r="Z13" s="83">
        <f t="shared" si="0"/>
        <v>29457.167000000001</v>
      </c>
      <c r="AB13" s="130">
        <f t="shared" si="1"/>
        <v>26252.450512064344</v>
      </c>
      <c r="AC13" s="128"/>
    </row>
    <row r="14" spans="1:30" x14ac:dyDescent="0.2">
      <c r="A14" s="3">
        <v>2010</v>
      </c>
      <c r="B14" s="83">
        <v>25709.5</v>
      </c>
      <c r="C14" s="114">
        <f t="shared" si="2"/>
        <v>1.0805261941286486</v>
      </c>
      <c r="D14" s="83"/>
      <c r="E14" s="83">
        <v>2243</v>
      </c>
      <c r="F14" s="114">
        <f t="shared" si="3"/>
        <v>1.0339819518867346</v>
      </c>
      <c r="G14" s="83"/>
      <c r="H14" s="83">
        <v>266</v>
      </c>
      <c r="I14" s="114">
        <f t="shared" si="4"/>
        <v>0.96903460837887068</v>
      </c>
      <c r="J14" s="83"/>
      <c r="K14" s="83">
        <v>12.667</v>
      </c>
      <c r="L14" s="114">
        <f t="shared" si="5"/>
        <v>0.96202627781575145</v>
      </c>
      <c r="M14" s="83"/>
      <c r="N14" s="83">
        <v>2</v>
      </c>
      <c r="O14" s="114">
        <f t="shared" si="6"/>
        <v>1</v>
      </c>
      <c r="P14" s="83"/>
      <c r="Q14" s="106">
        <v>2784.5</v>
      </c>
      <c r="R14" s="114">
        <f t="shared" si="7"/>
        <v>1.0156848440634689</v>
      </c>
      <c r="S14" s="106"/>
      <c r="T14" s="83">
        <v>272.5</v>
      </c>
      <c r="U14" s="114">
        <f t="shared" si="8"/>
        <v>0.96119929453262787</v>
      </c>
      <c r="V14" s="83"/>
      <c r="W14" s="83">
        <v>183.5</v>
      </c>
      <c r="X14" s="114">
        <f t="shared" si="9"/>
        <v>1.0210526708361771</v>
      </c>
      <c r="Y14" s="83"/>
      <c r="Z14" s="83">
        <f t="shared" si="0"/>
        <v>31473.667000000001</v>
      </c>
      <c r="AB14" s="130">
        <f t="shared" si="1"/>
        <v>28233.167000000001</v>
      </c>
      <c r="AC14" s="128"/>
      <c r="AD14" s="129"/>
    </row>
    <row r="15" spans="1:30" x14ac:dyDescent="0.2">
      <c r="A15" s="3">
        <v>2011</v>
      </c>
      <c r="B15" s="83">
        <v>27124.416666666668</v>
      </c>
      <c r="C15" s="114">
        <f t="shared" si="2"/>
        <v>1.0550347796210222</v>
      </c>
      <c r="D15" s="83"/>
      <c r="E15" s="83">
        <v>2331.25</v>
      </c>
      <c r="F15" s="114">
        <f t="shared" si="3"/>
        <v>1.0393446277307179</v>
      </c>
      <c r="G15" s="83"/>
      <c r="H15" s="83">
        <v>263.58333333333331</v>
      </c>
      <c r="I15" s="114">
        <f t="shared" si="4"/>
        <v>0.99091478696741853</v>
      </c>
      <c r="J15" s="83"/>
      <c r="K15" s="83">
        <v>12.5</v>
      </c>
      <c r="L15" s="114">
        <f t="shared" si="5"/>
        <v>0.98681613641746269</v>
      </c>
      <c r="M15" s="83"/>
      <c r="N15" s="83">
        <v>2</v>
      </c>
      <c r="O15" s="114">
        <f t="shared" si="6"/>
        <v>1</v>
      </c>
      <c r="P15" s="83"/>
      <c r="Q15" s="106">
        <v>2847.5</v>
      </c>
      <c r="R15" s="114">
        <f t="shared" si="7"/>
        <v>1.0226252469024959</v>
      </c>
      <c r="S15" s="106"/>
      <c r="T15" s="83">
        <v>265.5</v>
      </c>
      <c r="U15" s="114">
        <f t="shared" si="8"/>
        <v>0.97431192660550459</v>
      </c>
      <c r="V15" s="83"/>
      <c r="W15" s="83">
        <v>185.5</v>
      </c>
      <c r="X15" s="114">
        <f t="shared" si="9"/>
        <v>1.0108991825613078</v>
      </c>
      <c r="Y15" s="83"/>
      <c r="Z15" s="83">
        <f t="shared" si="0"/>
        <v>33032.25</v>
      </c>
      <c r="AB15" s="130">
        <f t="shared" si="1"/>
        <v>29733.75</v>
      </c>
      <c r="AC15" s="128"/>
      <c r="AD15" s="129"/>
    </row>
    <row r="16" spans="1:30" x14ac:dyDescent="0.2">
      <c r="A16" s="3">
        <v>2012</v>
      </c>
      <c r="B16" s="83">
        <v>28837.75</v>
      </c>
      <c r="C16" s="114">
        <f t="shared" si="2"/>
        <v>1.0631657209218017</v>
      </c>
      <c r="D16" s="83"/>
      <c r="E16" s="83">
        <v>2401.6666666666665</v>
      </c>
      <c r="F16" s="114">
        <f t="shared" si="3"/>
        <v>1.0302055406613047</v>
      </c>
      <c r="G16" s="83"/>
      <c r="H16" s="83">
        <v>271.33333333333331</v>
      </c>
      <c r="I16" s="114">
        <f t="shared" si="4"/>
        <v>1.0294024660132786</v>
      </c>
      <c r="J16" s="83"/>
      <c r="K16" s="83">
        <v>12</v>
      </c>
      <c r="L16" s="114">
        <f t="shared" si="5"/>
        <v>0.96</v>
      </c>
      <c r="M16" s="83"/>
      <c r="N16" s="83">
        <v>2</v>
      </c>
      <c r="O16" s="114">
        <f t="shared" si="6"/>
        <v>1</v>
      </c>
      <c r="P16" s="83"/>
      <c r="Q16" s="106">
        <v>2945.5</v>
      </c>
      <c r="R16" s="114">
        <f t="shared" si="7"/>
        <v>1.03441615452151</v>
      </c>
      <c r="S16" s="106"/>
      <c r="T16" s="83">
        <v>265</v>
      </c>
      <c r="U16" s="114">
        <f t="shared" si="8"/>
        <v>0.99811676082862522</v>
      </c>
      <c r="V16" s="83"/>
      <c r="W16" s="83">
        <v>189.5</v>
      </c>
      <c r="X16" s="114">
        <f t="shared" si="9"/>
        <v>1.0215633423180592</v>
      </c>
      <c r="Y16" s="83"/>
      <c r="Z16" s="83">
        <f t="shared" si="0"/>
        <v>34924.75</v>
      </c>
      <c r="AB16" s="130">
        <f t="shared" si="1"/>
        <v>31524.75</v>
      </c>
      <c r="AC16" s="129"/>
      <c r="AD16" s="55"/>
    </row>
    <row r="17" spans="1:31" x14ac:dyDescent="0.2">
      <c r="A17" s="3">
        <v>2013</v>
      </c>
      <c r="B17" s="83">
        <v>30730.666666666668</v>
      </c>
      <c r="C17" s="114">
        <f>B17/B16</f>
        <v>1.0656402342993703</v>
      </c>
      <c r="D17" s="83"/>
      <c r="E17" s="83">
        <v>2458.1666666666665</v>
      </c>
      <c r="F17" s="114">
        <f t="shared" si="3"/>
        <v>1.0235253296321998</v>
      </c>
      <c r="G17" s="83"/>
      <c r="H17" s="83">
        <v>272.16666666666669</v>
      </c>
      <c r="I17" s="114">
        <f t="shared" si="4"/>
        <v>1.0030712530712531</v>
      </c>
      <c r="J17" s="83"/>
      <c r="K17" s="83">
        <v>11.5</v>
      </c>
      <c r="L17" s="114">
        <f t="shared" si="5"/>
        <v>0.95833333333333337</v>
      </c>
      <c r="M17" s="83"/>
      <c r="N17" s="83">
        <v>2.5</v>
      </c>
      <c r="O17" s="114">
        <f t="shared" si="6"/>
        <v>1.25</v>
      </c>
      <c r="P17" s="83"/>
      <c r="Q17" s="106">
        <v>3018.5</v>
      </c>
      <c r="R17" s="114">
        <f t="shared" si="7"/>
        <v>1.0247835681548125</v>
      </c>
      <c r="S17" s="106"/>
      <c r="T17" s="83">
        <v>260.5</v>
      </c>
      <c r="U17" s="114">
        <f t="shared" si="8"/>
        <v>0.98301886792452831</v>
      </c>
      <c r="V17" s="83"/>
      <c r="W17" s="83">
        <v>192</v>
      </c>
      <c r="X17" s="114">
        <f t="shared" si="9"/>
        <v>1.0131926121372032</v>
      </c>
      <c r="Y17" s="83"/>
      <c r="Z17" s="83">
        <f t="shared" si="0"/>
        <v>36946</v>
      </c>
      <c r="AB17" s="130">
        <f t="shared" si="1"/>
        <v>33475</v>
      </c>
      <c r="AC17" s="129"/>
      <c r="AD17" s="55"/>
    </row>
    <row r="18" spans="1:31" x14ac:dyDescent="0.2">
      <c r="A18" s="3">
        <v>2014</v>
      </c>
      <c r="B18" s="83">
        <v>31706.916666666668</v>
      </c>
      <c r="C18" s="114">
        <f t="shared" si="2"/>
        <v>1.03176794081916</v>
      </c>
      <c r="D18" s="83"/>
      <c r="E18" s="83">
        <v>2510.0833333333335</v>
      </c>
      <c r="F18" s="114">
        <f t="shared" si="3"/>
        <v>1.0211200759373518</v>
      </c>
      <c r="G18" s="83"/>
      <c r="H18" s="83">
        <v>279.5</v>
      </c>
      <c r="I18" s="114">
        <f t="shared" si="4"/>
        <v>1.0269442743417023</v>
      </c>
      <c r="J18" s="83"/>
      <c r="K18" s="83">
        <v>11.5</v>
      </c>
      <c r="L18" s="114">
        <f t="shared" si="5"/>
        <v>1</v>
      </c>
      <c r="M18" s="83"/>
      <c r="N18" s="83">
        <v>3</v>
      </c>
      <c r="O18" s="114">
        <f t="shared" si="6"/>
        <v>1.2</v>
      </c>
      <c r="P18" s="83"/>
      <c r="Q18" s="106">
        <v>3071.5</v>
      </c>
      <c r="R18" s="114">
        <f t="shared" si="7"/>
        <v>1.0175583899287726</v>
      </c>
      <c r="S18" s="106"/>
      <c r="T18" s="83">
        <v>253.5</v>
      </c>
      <c r="U18" s="114">
        <f t="shared" si="8"/>
        <v>0.97312859884836855</v>
      </c>
      <c r="V18" s="83"/>
      <c r="W18" s="83">
        <v>190.5</v>
      </c>
      <c r="X18" s="114">
        <f t="shared" si="9"/>
        <v>0.9921875</v>
      </c>
      <c r="Y18" s="83"/>
      <c r="Z18" s="83">
        <f t="shared" si="0"/>
        <v>38026.5</v>
      </c>
      <c r="AB18" s="130">
        <f t="shared" ref="AB18:AB26" si="10">+B18+E18+H18+K18+N18</f>
        <v>34511</v>
      </c>
      <c r="AC18" s="129"/>
      <c r="AD18" s="55"/>
    </row>
    <row r="19" spans="1:31" x14ac:dyDescent="0.2">
      <c r="A19" s="3">
        <f>A18+1</f>
        <v>2015</v>
      </c>
      <c r="B19" s="83">
        <v>32717.583333333332</v>
      </c>
      <c r="C19" s="114">
        <f t="shared" si="2"/>
        <v>1.0318752743223745</v>
      </c>
      <c r="D19" s="83"/>
      <c r="E19" s="83">
        <v>2551.8333333333335</v>
      </c>
      <c r="F19" s="114">
        <f t="shared" si="3"/>
        <v>1.0166329139138808</v>
      </c>
      <c r="G19" s="83"/>
      <c r="H19" s="83">
        <v>290.58333333333331</v>
      </c>
      <c r="I19" s="114">
        <f t="shared" si="4"/>
        <v>1.0396541443053071</v>
      </c>
      <c r="J19" s="83"/>
      <c r="K19" s="83">
        <v>12.583333333333334</v>
      </c>
      <c r="L19" s="114">
        <f t="shared" si="5"/>
        <v>1.0942028985507246</v>
      </c>
      <c r="M19" s="83"/>
      <c r="N19" s="83">
        <v>3</v>
      </c>
      <c r="O19" s="114">
        <f t="shared" si="6"/>
        <v>1</v>
      </c>
      <c r="P19" s="83"/>
      <c r="Q19" s="106">
        <v>3127.6666666666665</v>
      </c>
      <c r="R19" s="114">
        <f t="shared" si="7"/>
        <v>1.0182863964403928</v>
      </c>
      <c r="S19" s="106"/>
      <c r="T19" s="83">
        <v>249.47058823529406</v>
      </c>
      <c r="U19" s="114">
        <f t="shared" si="8"/>
        <v>0.98410488455737299</v>
      </c>
      <c r="V19" s="83"/>
      <c r="W19" s="83">
        <v>207.16666666666666</v>
      </c>
      <c r="X19" s="114">
        <f t="shared" si="9"/>
        <v>1.0874890638670165</v>
      </c>
      <c r="Y19" s="83"/>
      <c r="Z19" s="83">
        <f t="shared" si="0"/>
        <v>39159.887254901958</v>
      </c>
      <c r="AB19" s="130">
        <f t="shared" si="10"/>
        <v>35575.583333333336</v>
      </c>
      <c r="AC19" s="129"/>
      <c r="AD19" s="55"/>
    </row>
    <row r="20" spans="1:31" x14ac:dyDescent="0.2">
      <c r="A20" s="3">
        <f t="shared" ref="A20:A25" si="11">A19+1</f>
        <v>2016</v>
      </c>
      <c r="B20" s="83">
        <v>33532.916666666664</v>
      </c>
      <c r="C20" s="114">
        <f t="shared" si="2"/>
        <v>1.0249203409991059</v>
      </c>
      <c r="D20" s="83"/>
      <c r="E20" s="83">
        <v>2602.9166666666665</v>
      </c>
      <c r="F20" s="114">
        <f t="shared" si="3"/>
        <v>1.0200182875057147</v>
      </c>
      <c r="G20" s="83"/>
      <c r="H20" s="83">
        <v>297.66666666666669</v>
      </c>
      <c r="I20" s="114">
        <f t="shared" si="4"/>
        <v>1.0243762546601665</v>
      </c>
      <c r="J20" s="83"/>
      <c r="K20" s="83">
        <v>13.5</v>
      </c>
      <c r="L20" s="114">
        <f t="shared" si="5"/>
        <v>1.0728476821192052</v>
      </c>
      <c r="M20" s="83"/>
      <c r="N20" s="83">
        <v>3</v>
      </c>
      <c r="O20" s="114">
        <f t="shared" si="6"/>
        <v>1</v>
      </c>
      <c r="P20" s="83"/>
      <c r="Q20" s="106">
        <v>3165</v>
      </c>
      <c r="R20" s="114">
        <f t="shared" si="7"/>
        <v>1.011936480869658</v>
      </c>
      <c r="S20" s="106"/>
      <c r="T20" s="83">
        <v>246.64705882352919</v>
      </c>
      <c r="U20" s="114">
        <f t="shared" si="8"/>
        <v>0.98868191464277233</v>
      </c>
      <c r="V20" s="83"/>
      <c r="W20" s="83">
        <v>222.41666666666666</v>
      </c>
      <c r="X20" s="114">
        <f t="shared" si="9"/>
        <v>1.0736122284794851</v>
      </c>
      <c r="Y20" s="83"/>
      <c r="Z20" s="83">
        <f t="shared" si="0"/>
        <v>40084.063725490189</v>
      </c>
      <c r="AB20" s="130">
        <f t="shared" si="10"/>
        <v>36449.999999999993</v>
      </c>
      <c r="AC20" s="129"/>
      <c r="AD20" s="55"/>
    </row>
    <row r="21" spans="1:31" x14ac:dyDescent="0.2">
      <c r="A21" s="3">
        <f t="shared" si="11"/>
        <v>2017</v>
      </c>
      <c r="B21" s="83">
        <v>34343.25</v>
      </c>
      <c r="C21" s="114">
        <f t="shared" si="2"/>
        <v>1.0241653102051467</v>
      </c>
      <c r="D21" s="83"/>
      <c r="E21" s="83">
        <v>2646.3333333333335</v>
      </c>
      <c r="F21" s="114">
        <f t="shared" si="3"/>
        <v>1.0166800064030737</v>
      </c>
      <c r="G21" s="83"/>
      <c r="H21" s="83">
        <v>319.25</v>
      </c>
      <c r="I21" s="114">
        <f t="shared" si="4"/>
        <v>1.0725083986562149</v>
      </c>
      <c r="J21" s="83"/>
      <c r="K21" s="83">
        <v>15</v>
      </c>
      <c r="L21" s="114">
        <f t="shared" si="5"/>
        <v>1.1111111111111112</v>
      </c>
      <c r="M21" s="83"/>
      <c r="N21" s="83">
        <v>3</v>
      </c>
      <c r="O21" s="114">
        <f t="shared" si="6"/>
        <v>1</v>
      </c>
      <c r="P21" s="83"/>
      <c r="Q21" s="106">
        <v>3230.8333333333335</v>
      </c>
      <c r="R21" s="114">
        <f t="shared" si="7"/>
        <v>1.0208004212743549</v>
      </c>
      <c r="S21" s="106"/>
      <c r="T21" s="83">
        <v>243.82352941176433</v>
      </c>
      <c r="U21" s="114">
        <f t="shared" si="8"/>
        <v>0.98855234915335011</v>
      </c>
      <c r="V21" s="83"/>
      <c r="W21" s="83">
        <v>215.58333333333334</v>
      </c>
      <c r="X21" s="114">
        <f t="shared" si="9"/>
        <v>0.96927688272761348</v>
      </c>
      <c r="Y21" s="83"/>
      <c r="Z21" s="83">
        <f t="shared" si="0"/>
        <v>41017.073529411769</v>
      </c>
      <c r="AB21" s="130">
        <f t="shared" si="10"/>
        <v>37326.833333333336</v>
      </c>
      <c r="AC21" s="129"/>
      <c r="AD21" s="55"/>
    </row>
    <row r="22" spans="1:31" x14ac:dyDescent="0.2">
      <c r="A22" s="3">
        <f t="shared" si="11"/>
        <v>2018</v>
      </c>
      <c r="B22" s="83">
        <v>35796.166666666664</v>
      </c>
      <c r="C22" s="114">
        <f t="shared" si="2"/>
        <v>1.0423057417881727</v>
      </c>
      <c r="D22" s="83"/>
      <c r="E22" s="83">
        <v>2685.9166666666665</v>
      </c>
      <c r="F22" s="114">
        <f t="shared" si="3"/>
        <v>1.0149578032497795</v>
      </c>
      <c r="G22" s="83"/>
      <c r="H22" s="83">
        <v>329.66666666666669</v>
      </c>
      <c r="I22" s="114">
        <f t="shared" si="4"/>
        <v>1.0326285565126598</v>
      </c>
      <c r="J22" s="83"/>
      <c r="K22" s="83">
        <v>14.166666666666666</v>
      </c>
      <c r="L22" s="114">
        <f t="shared" si="5"/>
        <v>0.94444444444444442</v>
      </c>
      <c r="M22" s="83"/>
      <c r="N22" s="83">
        <v>3</v>
      </c>
      <c r="O22" s="114">
        <f t="shared" si="6"/>
        <v>1</v>
      </c>
      <c r="P22" s="83"/>
      <c r="Q22" s="106">
        <v>3261.8852459016393</v>
      </c>
      <c r="R22" s="114">
        <f t="shared" si="7"/>
        <v>1.0096111155744047</v>
      </c>
      <c r="S22" s="106"/>
      <c r="T22" s="83">
        <v>240.99999999999946</v>
      </c>
      <c r="U22" s="114">
        <f t="shared" si="8"/>
        <v>0.98841978287092813</v>
      </c>
      <c r="V22" s="83"/>
      <c r="W22" s="83">
        <v>219.08333333333334</v>
      </c>
      <c r="X22" s="114">
        <f t="shared" si="9"/>
        <v>1.016235021260147</v>
      </c>
      <c r="Y22" s="83"/>
      <c r="Z22" s="83">
        <f t="shared" si="0"/>
        <v>42550.885245901634</v>
      </c>
      <c r="AB22" s="130">
        <f t="shared" si="10"/>
        <v>38828.916666666657</v>
      </c>
      <c r="AC22" s="129"/>
      <c r="AD22" s="55"/>
    </row>
    <row r="23" spans="1:31" x14ac:dyDescent="0.2">
      <c r="A23" s="3">
        <f t="shared" si="11"/>
        <v>2019</v>
      </c>
      <c r="B23" s="83">
        <v>37001.166666666664</v>
      </c>
      <c r="C23" s="114">
        <f t="shared" si="2"/>
        <v>1.0336628223692481</v>
      </c>
      <c r="D23" s="83"/>
      <c r="E23" s="83">
        <v>2691.6666666666665</v>
      </c>
      <c r="F23" s="114">
        <f t="shared" si="3"/>
        <v>1.0021407961279514</v>
      </c>
      <c r="G23" s="83"/>
      <c r="H23" s="83">
        <v>342.33333333333331</v>
      </c>
      <c r="I23" s="114">
        <f t="shared" si="4"/>
        <v>1.0384226491405459</v>
      </c>
      <c r="J23" s="83"/>
      <c r="K23" s="83">
        <v>14</v>
      </c>
      <c r="L23" s="114">
        <f t="shared" si="5"/>
        <v>0.9882352941176471</v>
      </c>
      <c r="M23" s="83"/>
      <c r="N23" s="83">
        <v>3</v>
      </c>
      <c r="O23" s="114">
        <f t="shared" si="6"/>
        <v>1</v>
      </c>
      <c r="P23" s="83"/>
      <c r="Q23" s="106">
        <v>3279.25</v>
      </c>
      <c r="R23" s="114">
        <f t="shared" si="7"/>
        <v>1.0053235331071744</v>
      </c>
      <c r="S23" s="106"/>
      <c r="T23" s="83">
        <v>238.17647058823459</v>
      </c>
      <c r="U23" s="114">
        <f t="shared" si="8"/>
        <v>0.98828411032462704</v>
      </c>
      <c r="V23" s="83"/>
      <c r="W23" s="83">
        <v>216.66666666666666</v>
      </c>
      <c r="X23" s="114">
        <f t="shared" si="9"/>
        <v>0.98896918980600979</v>
      </c>
      <c r="Y23" s="83"/>
      <c r="Z23" s="83">
        <f t="shared" si="0"/>
        <v>43786.259803921566</v>
      </c>
      <c r="AB23" s="130">
        <f t="shared" si="10"/>
        <v>40052.166666666664</v>
      </c>
      <c r="AC23" s="129"/>
      <c r="AD23" s="55"/>
    </row>
    <row r="24" spans="1:31" x14ac:dyDescent="0.2">
      <c r="A24" s="3">
        <f t="shared" si="11"/>
        <v>2020</v>
      </c>
      <c r="B24" s="83">
        <v>37705.916666666664</v>
      </c>
      <c r="C24" s="114">
        <f t="shared" si="2"/>
        <v>1.019046696725779</v>
      </c>
      <c r="D24" s="83"/>
      <c r="E24" s="83">
        <v>2724.9166666666665</v>
      </c>
      <c r="F24" s="114">
        <f t="shared" si="3"/>
        <v>1.0123529411764707</v>
      </c>
      <c r="G24" s="83"/>
      <c r="H24" s="83">
        <v>352.75</v>
      </c>
      <c r="I24" s="114">
        <f t="shared" si="4"/>
        <v>1.0304284323271666</v>
      </c>
      <c r="J24" s="83"/>
      <c r="K24" s="83">
        <v>14.583333333333334</v>
      </c>
      <c r="L24" s="114">
        <f t="shared" si="5"/>
        <v>1.0416666666666667</v>
      </c>
      <c r="M24" s="83"/>
      <c r="N24" s="83">
        <v>3</v>
      </c>
      <c r="O24" s="114">
        <f t="shared" si="6"/>
        <v>1</v>
      </c>
      <c r="P24" s="83"/>
      <c r="Q24" s="106">
        <v>3217.6372549019611</v>
      </c>
      <c r="R24" s="114">
        <f t="shared" si="7"/>
        <v>0.98121133030478347</v>
      </c>
      <c r="S24" s="106"/>
      <c r="T24" s="83">
        <v>235.88235294117598</v>
      </c>
      <c r="U24" s="114">
        <f t="shared" si="8"/>
        <v>0.99036799209681492</v>
      </c>
      <c r="V24" s="83"/>
      <c r="W24" s="83">
        <v>215.75</v>
      </c>
      <c r="X24" s="114">
        <f t="shared" si="9"/>
        <v>0.99576923076923085</v>
      </c>
      <c r="Y24" s="83"/>
      <c r="Z24" s="83">
        <f t="shared" si="0"/>
        <v>44470.436274509797</v>
      </c>
      <c r="AB24" s="130">
        <f t="shared" si="10"/>
        <v>40801.166666666664</v>
      </c>
      <c r="AC24" s="129"/>
      <c r="AD24" s="55"/>
    </row>
    <row r="25" spans="1:31" x14ac:dyDescent="0.2">
      <c r="A25" s="3">
        <f t="shared" si="11"/>
        <v>2021</v>
      </c>
      <c r="B25" s="83">
        <v>38491.25</v>
      </c>
      <c r="C25" s="114">
        <f t="shared" si="2"/>
        <v>1.0208278541608191</v>
      </c>
      <c r="D25" s="83"/>
      <c r="E25" s="83">
        <v>2875.75</v>
      </c>
      <c r="F25" s="114">
        <f t="shared" si="3"/>
        <v>1.0553533747209396</v>
      </c>
      <c r="G25" s="83"/>
      <c r="H25" s="83">
        <v>344.58333333333331</v>
      </c>
      <c r="I25" s="114">
        <f t="shared" si="4"/>
        <v>0.97684857075360254</v>
      </c>
      <c r="J25" s="83"/>
      <c r="K25" s="83">
        <v>13.916666666666666</v>
      </c>
      <c r="L25" s="114">
        <f t="shared" si="5"/>
        <v>0.95428571428571418</v>
      </c>
      <c r="M25" s="83"/>
      <c r="N25" s="83">
        <v>3</v>
      </c>
      <c r="O25" s="114">
        <f t="shared" si="6"/>
        <v>1</v>
      </c>
      <c r="P25" s="83"/>
      <c r="Q25" s="106">
        <v>2891.9519230769233</v>
      </c>
      <c r="R25" s="114">
        <f t="shared" si="7"/>
        <v>0.8987812155242586</v>
      </c>
      <c r="S25" s="106"/>
      <c r="T25" s="83">
        <v>237</v>
      </c>
      <c r="U25" s="114">
        <f t="shared" si="8"/>
        <v>1.0047381546134684</v>
      </c>
      <c r="V25" s="83"/>
      <c r="W25" s="83">
        <v>216.41666666666666</v>
      </c>
      <c r="X25" s="114">
        <f t="shared" si="9"/>
        <v>1.0030899961375048</v>
      </c>
      <c r="Y25" s="83"/>
      <c r="Z25" s="83">
        <f>B25+E25+H25+K25+N25+Q25+T25+W25</f>
        <v>45073.868589743586</v>
      </c>
      <c r="AB25" s="130">
        <f t="shared" si="10"/>
        <v>41728.5</v>
      </c>
      <c r="AC25" s="129"/>
      <c r="AD25" s="55"/>
    </row>
    <row r="26" spans="1:31" x14ac:dyDescent="0.2">
      <c r="A26" s="3">
        <v>2022</v>
      </c>
      <c r="B26" s="117">
        <f>B25+B44</f>
        <v>39241.25</v>
      </c>
      <c r="C26" s="115">
        <f>GEOMEAN(C17:C24)</f>
        <v>1.0340844711015764</v>
      </c>
      <c r="D26" s="113"/>
      <c r="E26" s="117">
        <f>F26*E25</f>
        <v>2921.5020158639936</v>
      </c>
      <c r="F26" s="115">
        <f>GEOMEAN(F17:F24)</f>
        <v>1.0159095943193928</v>
      </c>
      <c r="G26" s="113"/>
      <c r="H26" s="117">
        <f>I26*H25</f>
        <v>356.07358069640776</v>
      </c>
      <c r="I26" s="115">
        <f>GEOMEAN(I17:I24)</f>
        <v>1.0333453369666006</v>
      </c>
      <c r="J26" s="113"/>
      <c r="K26" s="117">
        <f>ROUND(K25*L26,0)</f>
        <v>14</v>
      </c>
      <c r="L26" s="115">
        <f>GEOMEAN(L17:L25)</f>
        <v>1.016600788267966</v>
      </c>
      <c r="M26" s="113"/>
      <c r="N26" s="117">
        <f>ROUND(N25*O26,0)</f>
        <v>3</v>
      </c>
      <c r="O26" s="115">
        <f>GEOMEAN(O17:O25)</f>
        <v>1.0460819186432146</v>
      </c>
      <c r="P26" s="113"/>
      <c r="Q26" s="117">
        <f>R26*Q25</f>
        <v>2924.0737740938407</v>
      </c>
      <c r="R26" s="115">
        <f>GEOMEAN(R17:R24)</f>
        <v>1.0111073253882938</v>
      </c>
      <c r="S26" s="113"/>
      <c r="T26" s="117">
        <f>U26*T25</f>
        <v>234.07753306777536</v>
      </c>
      <c r="U26" s="115">
        <f>GEOMEAN(U17:U25)</f>
        <v>0.98766891589778638</v>
      </c>
      <c r="V26" s="113"/>
      <c r="W26" s="117">
        <f>X26*W25</f>
        <v>219.63409450959887</v>
      </c>
      <c r="X26" s="115">
        <f>GEOMEAN(X17:X25)</f>
        <v>1.0148668209916005</v>
      </c>
      <c r="Y26" s="113"/>
      <c r="Z26" s="113">
        <f>B26+E26+H26+K26+N26+Q26+T26+W26</f>
        <v>45913.610998231627</v>
      </c>
      <c r="AB26" s="130">
        <f t="shared" si="10"/>
        <v>42535.825596560404</v>
      </c>
      <c r="AC26" s="129"/>
      <c r="AD26" s="55"/>
    </row>
    <row r="27" spans="1:31" x14ac:dyDescent="0.2">
      <c r="A27" s="3">
        <v>2023</v>
      </c>
      <c r="B27" s="117">
        <f>B26+B45</f>
        <v>40191.25</v>
      </c>
      <c r="C27" s="115">
        <f>C26</f>
        <v>1.0340844711015764</v>
      </c>
      <c r="D27" s="113"/>
      <c r="E27" s="117">
        <f>E26*F27</f>
        <v>2967.9819277396778</v>
      </c>
      <c r="F27" s="115">
        <f>F26</f>
        <v>1.0159095943193928</v>
      </c>
      <c r="G27" s="113"/>
      <c r="H27" s="117">
        <f>H26*I27</f>
        <v>367.9469742296335</v>
      </c>
      <c r="I27" s="115">
        <f>I26</f>
        <v>1.0333453369666006</v>
      </c>
      <c r="J27" s="113"/>
      <c r="K27" s="117">
        <f>ROUND(K26*L27,0)</f>
        <v>14</v>
      </c>
      <c r="L27" s="115">
        <f>L26</f>
        <v>1.016600788267966</v>
      </c>
      <c r="M27" s="113"/>
      <c r="N27" s="117">
        <f>ROUND(N26*O27,0)</f>
        <v>3</v>
      </c>
      <c r="O27" s="115">
        <f>O26</f>
        <v>1.0460819186432146</v>
      </c>
      <c r="P27" s="113"/>
      <c r="Q27" s="117">
        <f>Q26*R27</f>
        <v>2956.5524129620776</v>
      </c>
      <c r="R27" s="115">
        <f>R26</f>
        <v>1.0111073253882938</v>
      </c>
      <c r="S27" s="113"/>
      <c r="T27" s="117">
        <f>T26*U27</f>
        <v>231.19110332107795</v>
      </c>
      <c r="U27" s="115">
        <f>U26</f>
        <v>0.98766891589778638</v>
      </c>
      <c r="V27" s="113"/>
      <c r="W27" s="117">
        <f>W26*X27</f>
        <v>222.89935527632534</v>
      </c>
      <c r="X27" s="115">
        <f>X26</f>
        <v>1.0148668209916005</v>
      </c>
      <c r="Y27" s="113"/>
      <c r="Z27" s="113">
        <f>B27+E27+H27+K27+N27+Q27+T27+W27</f>
        <v>46954.821773528791</v>
      </c>
      <c r="AB27" s="5">
        <f>+B27+E27+H27+K27+N27</f>
        <v>43544.17890196931</v>
      </c>
      <c r="AC27" s="129"/>
      <c r="AD27" s="55"/>
    </row>
    <row r="28" spans="1:31" x14ac:dyDescent="0.2">
      <c r="A28" s="11"/>
      <c r="C28" s="129"/>
      <c r="F28" s="146">
        <f>GEOMEAN(F16:F23)</f>
        <v>1.0181319198420835</v>
      </c>
      <c r="I28" s="146">
        <f>GEOMEAN(I16:I23)</f>
        <v>1.0332166720855931</v>
      </c>
      <c r="L28" s="129"/>
      <c r="O28" s="129"/>
      <c r="R28" s="129"/>
      <c r="U28" s="129"/>
      <c r="X28" s="129"/>
      <c r="AC28" s="129"/>
    </row>
    <row r="29" spans="1:31" s="98" customFormat="1" ht="25.5" customHeight="1" x14ac:dyDescent="0.2">
      <c r="A29" s="119"/>
      <c r="B29" s="140" t="s">
        <v>107</v>
      </c>
      <c r="C29" s="140"/>
      <c r="D29" s="104"/>
      <c r="E29" s="147" t="s">
        <v>133</v>
      </c>
      <c r="F29" s="147"/>
      <c r="G29" s="104"/>
      <c r="H29" s="147" t="s">
        <v>133</v>
      </c>
      <c r="I29" s="147"/>
      <c r="J29" s="104"/>
      <c r="K29" s="140" t="s">
        <v>109</v>
      </c>
      <c r="L29" s="140"/>
      <c r="M29" s="104"/>
      <c r="N29" s="140" t="s">
        <v>110</v>
      </c>
      <c r="O29" s="140"/>
      <c r="P29" s="104"/>
      <c r="Q29" s="140" t="s">
        <v>108</v>
      </c>
      <c r="R29" s="140"/>
      <c r="S29" s="104"/>
      <c r="T29" s="140" t="s">
        <v>111</v>
      </c>
      <c r="U29" s="140"/>
      <c r="V29" s="104"/>
      <c r="W29" s="140" t="s">
        <v>112</v>
      </c>
      <c r="X29" s="140"/>
      <c r="Y29" s="104"/>
      <c r="Z29" s="104"/>
      <c r="AA29" s="104"/>
      <c r="AB29" s="104"/>
      <c r="AC29" s="104"/>
      <c r="AD29" s="104"/>
      <c r="AE29" s="104"/>
    </row>
    <row r="30" spans="1:31" x14ac:dyDescent="0.2">
      <c r="A30" s="11"/>
      <c r="B30" s="37"/>
      <c r="C30" s="37"/>
      <c r="E30" s="141" t="s">
        <v>113</v>
      </c>
      <c r="F30" s="141"/>
      <c r="G30" s="141"/>
      <c r="H30" s="141"/>
      <c r="I30" s="141"/>
      <c r="J30" s="141"/>
      <c r="K30" s="141"/>
      <c r="L30" s="141"/>
      <c r="N30" s="37"/>
      <c r="O30" s="37"/>
      <c r="Q30" s="37"/>
      <c r="R30" s="37"/>
      <c r="T30" s="37"/>
      <c r="U30" s="37"/>
      <c r="W30" s="37"/>
      <c r="X30" s="37"/>
    </row>
    <row r="31" spans="1:31" x14ac:dyDescent="0.2">
      <c r="A31" s="11" t="s">
        <v>114</v>
      </c>
    </row>
    <row r="32" spans="1:31" x14ac:dyDescent="0.2">
      <c r="A32" s="3">
        <v>2022</v>
      </c>
      <c r="B32" s="36">
        <f>AVERAGE(B60:B71)</f>
        <v>39229.25</v>
      </c>
      <c r="C32" s="36"/>
      <c r="D32" s="36"/>
      <c r="E32" s="36">
        <f>AVERAGE(E60:E71)</f>
        <v>2946.5803320079062</v>
      </c>
      <c r="F32" s="36"/>
      <c r="G32" s="36"/>
      <c r="H32" s="36">
        <f>AVERAGE(H60:H71)</f>
        <v>332.85413131613916</v>
      </c>
      <c r="I32" s="36"/>
      <c r="J32" s="36"/>
      <c r="K32" s="36">
        <f>AVERAGE(K60:K71)</f>
        <v>12</v>
      </c>
      <c r="L32" s="36"/>
      <c r="M32" s="36"/>
      <c r="N32" s="36">
        <f>AVERAGE(N60:N71)</f>
        <v>3</v>
      </c>
      <c r="O32" s="36"/>
      <c r="P32" s="36"/>
      <c r="Q32" s="36">
        <f>AVERAGE(Q60:Q71)</f>
        <v>2904.6832348918383</v>
      </c>
      <c r="R32" s="36"/>
      <c r="S32" s="36"/>
      <c r="T32" s="36">
        <f>AVERAGE(T60:T71)</f>
        <v>234.07753306777542</v>
      </c>
      <c r="U32" s="36"/>
      <c r="V32" s="36"/>
      <c r="W32" s="36">
        <f>AVERAGE(W60:W71)</f>
        <v>219.59999999999994</v>
      </c>
      <c r="X32" s="36"/>
      <c r="Y32" s="14"/>
    </row>
    <row r="33" spans="1:30" x14ac:dyDescent="0.2">
      <c r="A33" s="3">
        <v>2023</v>
      </c>
      <c r="B33" s="36">
        <f>AVERAGE(B72:B83)</f>
        <v>40087.583333333314</v>
      </c>
      <c r="C33" s="36"/>
      <c r="D33" s="36"/>
      <c r="E33" s="36">
        <f>AVERAGE(E72:E83)</f>
        <v>3000.0074903961308</v>
      </c>
      <c r="F33" s="36"/>
      <c r="G33" s="36"/>
      <c r="H33" s="36">
        <f>AVERAGE(H72:H83)</f>
        <v>343.91043784840258</v>
      </c>
      <c r="I33" s="36"/>
      <c r="J33" s="36"/>
      <c r="K33" s="36">
        <f>AVERAGE(K72:K83)</f>
        <v>12</v>
      </c>
      <c r="L33" s="36"/>
      <c r="M33" s="36"/>
      <c r="N33" s="36">
        <f>AVERAGE(N72:N83)</f>
        <v>3</v>
      </c>
      <c r="O33" s="36"/>
      <c r="P33" s="36"/>
      <c r="Q33" s="36">
        <f>AVERAGE(Q72:Q83)</f>
        <v>2919.41159236661</v>
      </c>
      <c r="R33" s="36"/>
      <c r="S33" s="36"/>
      <c r="T33" s="36">
        <f>AVERAGE(T72:T83)</f>
        <v>231.19110332107812</v>
      </c>
      <c r="U33" s="36"/>
      <c r="V33" s="36"/>
      <c r="W33" s="36">
        <f>AVERAGE(W72:W83)</f>
        <v>222.86475388975543</v>
      </c>
      <c r="X33" s="36"/>
      <c r="Y33" s="14"/>
    </row>
    <row r="34" spans="1:30" x14ac:dyDescent="0.2">
      <c r="A34" s="3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14"/>
    </row>
    <row r="35" spans="1:30" x14ac:dyDescent="0.2">
      <c r="A35" s="121" t="s">
        <v>115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</row>
    <row r="36" spans="1:30" x14ac:dyDescent="0.2">
      <c r="A36" s="3">
        <v>2022</v>
      </c>
      <c r="B36" s="14">
        <f>B40-B32</f>
        <v>0</v>
      </c>
      <c r="C36" s="14"/>
      <c r="D36" s="14"/>
      <c r="E36" s="14">
        <f>E40-E32</f>
        <v>0</v>
      </c>
      <c r="F36" s="14"/>
      <c r="G36" s="14"/>
      <c r="H36" s="14">
        <f>H40-H32</f>
        <v>0</v>
      </c>
      <c r="I36" s="14"/>
      <c r="J36" s="14"/>
      <c r="K36" s="14">
        <f>K40-K32</f>
        <v>0</v>
      </c>
      <c r="L36" s="14"/>
      <c r="M36" s="14"/>
      <c r="N36" s="14">
        <f>N40-N32</f>
        <v>0</v>
      </c>
      <c r="O36" s="14"/>
      <c r="P36" s="14"/>
      <c r="Q36" s="14">
        <f>Q40-Q32</f>
        <v>0</v>
      </c>
      <c r="R36" s="14"/>
      <c r="S36" s="14"/>
      <c r="T36" s="14">
        <f>T40-T32</f>
        <v>0</v>
      </c>
      <c r="U36" s="14"/>
      <c r="V36" s="14"/>
      <c r="W36" s="14">
        <f>W40-W32</f>
        <v>0</v>
      </c>
      <c r="X36" s="14"/>
      <c r="Y36" s="14"/>
    </row>
    <row r="37" spans="1:30" x14ac:dyDescent="0.2">
      <c r="A37" s="3">
        <v>2023</v>
      </c>
      <c r="B37" s="14">
        <f>B41-B33</f>
        <v>0</v>
      </c>
      <c r="E37" s="14">
        <f>E41-E33</f>
        <v>0</v>
      </c>
      <c r="F37" s="14"/>
      <c r="G37" s="14"/>
      <c r="H37" s="14">
        <f>H41-H33</f>
        <v>0</v>
      </c>
      <c r="I37" s="14"/>
      <c r="J37" s="14"/>
      <c r="K37" s="14">
        <f>K41-K33</f>
        <v>0</v>
      </c>
      <c r="L37" s="14"/>
      <c r="M37" s="14"/>
      <c r="N37" s="14">
        <f>N41-N33</f>
        <v>0</v>
      </c>
      <c r="O37" s="14"/>
      <c r="P37" s="14"/>
      <c r="Q37" s="14">
        <f>Q41-Q33</f>
        <v>0</v>
      </c>
      <c r="R37" s="14"/>
      <c r="S37" s="14"/>
      <c r="T37" s="14">
        <f>T41-T33</f>
        <v>0</v>
      </c>
      <c r="U37" s="14"/>
      <c r="V37" s="14"/>
      <c r="W37" s="14">
        <f>W41-W33</f>
        <v>0</v>
      </c>
      <c r="X37" s="14"/>
      <c r="Y37" s="14"/>
    </row>
    <row r="38" spans="1:30" x14ac:dyDescent="0.2">
      <c r="A38" s="11"/>
    </row>
    <row r="39" spans="1:30" x14ac:dyDescent="0.2">
      <c r="A39" s="11" t="s">
        <v>116</v>
      </c>
    </row>
    <row r="40" spans="1:30" x14ac:dyDescent="0.2">
      <c r="A40" s="27">
        <v>2022</v>
      </c>
      <c r="B40" s="5">
        <f>B32</f>
        <v>39229.25</v>
      </c>
      <c r="C40" s="118">
        <f>B40/B25</f>
        <v>1.0191731887117201</v>
      </c>
      <c r="E40" s="5">
        <f>E32</f>
        <v>2946.5803320079062</v>
      </c>
      <c r="F40" s="118">
        <f>E40/E25</f>
        <v>1.0246302119474593</v>
      </c>
      <c r="H40" s="5">
        <f>H32</f>
        <v>332.85413131613916</v>
      </c>
      <c r="I40" s="118">
        <f>H40/H25</f>
        <v>0.96596120333583313</v>
      </c>
      <c r="K40" s="5">
        <f>K32</f>
        <v>12</v>
      </c>
      <c r="L40" s="118">
        <f>K40/K25</f>
        <v>0.86227544910179643</v>
      </c>
      <c r="N40" s="5">
        <f>N26</f>
        <v>3</v>
      </c>
      <c r="O40" s="118">
        <f>N40/N25</f>
        <v>1</v>
      </c>
      <c r="Q40" s="5">
        <f>Q32</f>
        <v>2904.6832348918383</v>
      </c>
      <c r="R40" s="118">
        <f>Q40/Q25</f>
        <v>1.0044023248496363</v>
      </c>
      <c r="T40" s="5">
        <f>T26</f>
        <v>234.07753306777536</v>
      </c>
      <c r="U40" s="118">
        <f>T40/T25</f>
        <v>0.98766891589778638</v>
      </c>
      <c r="W40" s="5">
        <f>W32</f>
        <v>219.59999999999994</v>
      </c>
      <c r="X40" s="118">
        <f>W40/W25</f>
        <v>1.0147092799383901</v>
      </c>
      <c r="Z40" s="113">
        <f>B40+E40+H40+K40+N40+Q40+T40+W40</f>
        <v>45882.045231283664</v>
      </c>
      <c r="AB40" s="130">
        <f>+B40+E40+H40+K40+N40</f>
        <v>42523.684463324047</v>
      </c>
      <c r="AC40" s="129"/>
      <c r="AD40" s="55"/>
    </row>
    <row r="41" spans="1:30" x14ac:dyDescent="0.2">
      <c r="A41" s="27">
        <v>2023</v>
      </c>
      <c r="B41" s="5">
        <f>B33</f>
        <v>40087.583333333314</v>
      </c>
      <c r="C41" s="118">
        <f>B41/B40</f>
        <v>1.0218799322784227</v>
      </c>
      <c r="E41" s="5">
        <f>E33</f>
        <v>3000.0074903961308</v>
      </c>
      <c r="F41" s="118">
        <f>E41/E40</f>
        <v>1.0181319198420826</v>
      </c>
      <c r="H41" s="5">
        <f>H33</f>
        <v>343.91043784840258</v>
      </c>
      <c r="I41" s="118">
        <f>H41/H40</f>
        <v>1.033216672085594</v>
      </c>
      <c r="K41" s="5">
        <f>K33</f>
        <v>12</v>
      </c>
      <c r="L41" s="118">
        <f>K41/K40</f>
        <v>1</v>
      </c>
      <c r="N41" s="5">
        <f>N27</f>
        <v>3</v>
      </c>
      <c r="O41" s="118">
        <f>N41/N40</f>
        <v>1</v>
      </c>
      <c r="Q41" s="5">
        <f>Q33</f>
        <v>2919.41159236661</v>
      </c>
      <c r="R41" s="118">
        <f>Q41/Q40</f>
        <v>1.0050705554732615</v>
      </c>
      <c r="T41" s="5">
        <f>T27</f>
        <v>231.19110332107795</v>
      </c>
      <c r="U41" s="118">
        <f>T41/T40</f>
        <v>0.98766891589778638</v>
      </c>
      <c r="W41" s="5">
        <f>W33</f>
        <v>222.86475388975543</v>
      </c>
      <c r="X41" s="118">
        <f>W41/W40</f>
        <v>1.0148668209916005</v>
      </c>
      <c r="Z41" s="113">
        <f>B41+E41+H41+K41+N41+Q41+T41+W41</f>
        <v>46819.968711155292</v>
      </c>
      <c r="AB41" s="130">
        <f>+B41+E41+H41+K41+N41</f>
        <v>43446.501261577847</v>
      </c>
      <c r="AC41" s="129"/>
      <c r="AD41" s="55"/>
    </row>
    <row r="42" spans="1:30" x14ac:dyDescent="0.2">
      <c r="A42" s="11"/>
    </row>
    <row r="43" spans="1:30" x14ac:dyDescent="0.2">
      <c r="A43" s="120" t="s">
        <v>117</v>
      </c>
      <c r="C43" s="13"/>
      <c r="D43" s="95"/>
      <c r="F43" s="13"/>
      <c r="G43" s="14"/>
      <c r="I43" s="13"/>
      <c r="J43" s="14"/>
      <c r="L43" s="13"/>
      <c r="M43" s="14"/>
      <c r="O43" s="13"/>
      <c r="P43" s="14"/>
      <c r="R43" s="13"/>
      <c r="S43" s="14"/>
      <c r="U43" s="13"/>
      <c r="V43" s="14"/>
      <c r="X43" s="13"/>
      <c r="Y43" s="14"/>
    </row>
    <row r="44" spans="1:30" x14ac:dyDescent="0.2">
      <c r="A44" s="3">
        <v>2022</v>
      </c>
      <c r="B44" s="89">
        <v>750</v>
      </c>
      <c r="C44" s="13"/>
      <c r="D44" s="95"/>
      <c r="E44" s="5">
        <f>E26-E25</f>
        <v>45.75201586399362</v>
      </c>
      <c r="F44" s="13"/>
      <c r="G44" s="14"/>
      <c r="H44" s="5">
        <f>H26-H25</f>
        <v>11.490247363074445</v>
      </c>
      <c r="I44" s="13"/>
      <c r="J44" s="14"/>
      <c r="K44" s="5">
        <f>K26-K25</f>
        <v>8.3333333333333925E-2</v>
      </c>
      <c r="L44" s="13"/>
      <c r="M44" s="14"/>
      <c r="N44" s="5">
        <f>N26-N25</f>
        <v>0</v>
      </c>
      <c r="O44" s="13"/>
      <c r="P44" s="14"/>
      <c r="Q44" s="5">
        <f>Q26-Q25</f>
        <v>32.12185101691739</v>
      </c>
      <c r="R44" s="13"/>
      <c r="S44" s="14"/>
      <c r="T44" s="5">
        <f>T26-T25</f>
        <v>-2.922466932224637</v>
      </c>
      <c r="U44" s="13"/>
      <c r="V44" s="14"/>
      <c r="W44" s="5">
        <f>W26-W25</f>
        <v>3.2174278429322101</v>
      </c>
      <c r="X44" s="13"/>
      <c r="Y44" s="14"/>
    </row>
    <row r="45" spans="1:30" x14ac:dyDescent="0.2">
      <c r="A45" s="3">
        <v>2023</v>
      </c>
      <c r="B45" s="89">
        <v>950</v>
      </c>
      <c r="C45" s="13"/>
      <c r="D45" s="95"/>
      <c r="E45" s="5">
        <f>E27-E26</f>
        <v>46.479911875684138</v>
      </c>
      <c r="F45" s="13"/>
      <c r="G45" s="14"/>
      <c r="H45" s="5">
        <f>H27-H26</f>
        <v>11.873393533225737</v>
      </c>
      <c r="I45" s="13"/>
      <c r="J45" s="14"/>
      <c r="K45" s="5">
        <f>K27-K26</f>
        <v>0</v>
      </c>
      <c r="L45" s="13"/>
      <c r="M45" s="14"/>
      <c r="N45" s="5">
        <f>N27-N26</f>
        <v>0</v>
      </c>
      <c r="O45" s="13"/>
      <c r="P45" s="14"/>
      <c r="Q45" s="5">
        <f>Q27-Q26</f>
        <v>32.478638868236885</v>
      </c>
      <c r="R45" s="13"/>
      <c r="S45" s="14"/>
      <c r="T45" s="5">
        <f>T27-T26</f>
        <v>-2.8864297466974165</v>
      </c>
      <c r="U45" s="13"/>
      <c r="V45" s="14"/>
      <c r="W45" s="5">
        <f>W27-W26</f>
        <v>3.2652607667264704</v>
      </c>
      <c r="X45" s="13"/>
      <c r="Y45" s="14"/>
    </row>
    <row r="46" spans="1:30" x14ac:dyDescent="0.2">
      <c r="A46" s="11"/>
    </row>
    <row r="47" spans="1:30" x14ac:dyDescent="0.2">
      <c r="A47" s="11"/>
    </row>
    <row r="48" spans="1:30" x14ac:dyDescent="0.2">
      <c r="A48" s="116">
        <v>44197</v>
      </c>
      <c r="B48" s="5">
        <v>38101</v>
      </c>
      <c r="E48" s="5">
        <v>2807</v>
      </c>
      <c r="H48" s="5">
        <v>359</v>
      </c>
      <c r="K48" s="5">
        <v>15</v>
      </c>
      <c r="N48" s="5">
        <v>3</v>
      </c>
      <c r="Q48" s="5">
        <v>2933</v>
      </c>
      <c r="T48" s="5">
        <v>237</v>
      </c>
      <c r="W48" s="5">
        <v>215</v>
      </c>
    </row>
    <row r="49" spans="1:28" x14ac:dyDescent="0.2">
      <c r="A49" s="116">
        <v>44228</v>
      </c>
      <c r="B49" s="5">
        <v>38138</v>
      </c>
      <c r="E49" s="5">
        <v>2848</v>
      </c>
      <c r="H49" s="5">
        <v>359</v>
      </c>
      <c r="K49" s="5">
        <v>15</v>
      </c>
      <c r="N49" s="5">
        <v>3</v>
      </c>
      <c r="Q49" s="5">
        <v>2921</v>
      </c>
      <c r="T49" s="5">
        <v>237</v>
      </c>
      <c r="W49" s="5">
        <v>215</v>
      </c>
    </row>
    <row r="50" spans="1:28" x14ac:dyDescent="0.2">
      <c r="A50" s="116">
        <v>44256</v>
      </c>
      <c r="B50" s="5">
        <v>38255</v>
      </c>
      <c r="E50" s="5">
        <v>2849</v>
      </c>
      <c r="H50" s="5">
        <v>359</v>
      </c>
      <c r="K50" s="5">
        <v>15</v>
      </c>
      <c r="N50" s="5">
        <v>3</v>
      </c>
      <c r="Q50" s="5">
        <v>2895</v>
      </c>
      <c r="T50" s="5">
        <v>237</v>
      </c>
      <c r="W50" s="5">
        <v>215</v>
      </c>
    </row>
    <row r="51" spans="1:28" x14ac:dyDescent="0.2">
      <c r="A51" s="116">
        <v>44287</v>
      </c>
      <c r="B51" s="5">
        <v>38336</v>
      </c>
      <c r="E51" s="5">
        <v>2861</v>
      </c>
      <c r="H51" s="5">
        <v>359</v>
      </c>
      <c r="K51" s="5">
        <v>15</v>
      </c>
      <c r="N51" s="5">
        <v>3</v>
      </c>
      <c r="Q51" s="5">
        <v>2890</v>
      </c>
      <c r="T51" s="5">
        <v>237</v>
      </c>
      <c r="W51" s="5">
        <v>214</v>
      </c>
    </row>
    <row r="52" spans="1:28" x14ac:dyDescent="0.2">
      <c r="A52" s="116">
        <v>44317</v>
      </c>
      <c r="B52" s="5">
        <v>38428</v>
      </c>
      <c r="E52" s="5">
        <v>2864</v>
      </c>
      <c r="H52" s="5">
        <v>359</v>
      </c>
      <c r="K52" s="5">
        <v>15</v>
      </c>
      <c r="N52" s="5">
        <v>3</v>
      </c>
      <c r="Q52" s="5">
        <v>2834.4230769230767</v>
      </c>
      <c r="T52" s="5">
        <v>237</v>
      </c>
      <c r="W52" s="5">
        <v>214</v>
      </c>
    </row>
    <row r="53" spans="1:28" x14ac:dyDescent="0.2">
      <c r="A53" s="116">
        <v>44348</v>
      </c>
      <c r="B53" s="5">
        <v>38487</v>
      </c>
      <c r="E53" s="5">
        <v>2867</v>
      </c>
      <c r="H53" s="5">
        <v>360</v>
      </c>
      <c r="K53" s="5">
        <v>15</v>
      </c>
      <c r="N53" s="5">
        <v>3</v>
      </c>
      <c r="Q53" s="5">
        <v>2890</v>
      </c>
      <c r="T53" s="5">
        <v>237</v>
      </c>
      <c r="W53" s="5">
        <v>214</v>
      </c>
    </row>
    <row r="54" spans="1:28" x14ac:dyDescent="0.2">
      <c r="A54" s="116">
        <v>44378</v>
      </c>
      <c r="B54" s="5">
        <v>38553</v>
      </c>
      <c r="C54" s="13"/>
      <c r="D54" s="13"/>
      <c r="E54" s="5">
        <v>2870</v>
      </c>
      <c r="F54" s="13"/>
      <c r="G54" s="13"/>
      <c r="H54" s="5">
        <v>360</v>
      </c>
      <c r="I54" s="13"/>
      <c r="K54" s="5">
        <v>15</v>
      </c>
      <c r="N54" s="5">
        <v>3</v>
      </c>
      <c r="Q54" s="5">
        <v>2890</v>
      </c>
      <c r="T54" s="5">
        <v>237</v>
      </c>
      <c r="W54" s="5">
        <v>214</v>
      </c>
      <c r="X54" s="13"/>
      <c r="Y54" s="13"/>
    </row>
    <row r="55" spans="1:28" x14ac:dyDescent="0.2">
      <c r="A55" s="116">
        <v>44409</v>
      </c>
      <c r="B55" s="5">
        <v>38570</v>
      </c>
      <c r="C55" s="13"/>
      <c r="D55" s="13"/>
      <c r="E55" s="5">
        <v>2898</v>
      </c>
      <c r="F55" s="13"/>
      <c r="G55" s="13"/>
      <c r="H55" s="5">
        <v>331</v>
      </c>
      <c r="I55" s="13"/>
      <c r="K55" s="5">
        <v>14</v>
      </c>
      <c r="N55" s="5">
        <v>3</v>
      </c>
      <c r="Q55" s="5">
        <v>2890</v>
      </c>
      <c r="T55" s="5">
        <v>237</v>
      </c>
      <c r="W55" s="5">
        <v>214</v>
      </c>
      <c r="X55" s="13"/>
      <c r="Y55" s="13"/>
    </row>
    <row r="56" spans="1:28" x14ac:dyDescent="0.2">
      <c r="A56" s="116">
        <v>44440</v>
      </c>
      <c r="B56" s="5">
        <v>38649</v>
      </c>
      <c r="C56" s="13"/>
      <c r="D56" s="13"/>
      <c r="E56" s="5">
        <v>2914</v>
      </c>
      <c r="F56" s="13"/>
      <c r="G56" s="13"/>
      <c r="H56" s="5">
        <v>320</v>
      </c>
      <c r="I56" s="13"/>
      <c r="K56" s="5">
        <v>12</v>
      </c>
      <c r="N56" s="5">
        <v>3</v>
      </c>
      <c r="Q56" s="5">
        <v>2890</v>
      </c>
      <c r="T56" s="5">
        <v>237</v>
      </c>
      <c r="W56" s="5">
        <v>219</v>
      </c>
      <c r="X56" s="13"/>
      <c r="Y56" s="13"/>
    </row>
    <row r="57" spans="1:28" x14ac:dyDescent="0.2">
      <c r="A57" s="116">
        <v>44470</v>
      </c>
      <c r="B57" s="5">
        <v>38774</v>
      </c>
      <c r="C57" s="13"/>
      <c r="D57" s="13"/>
      <c r="E57" s="5">
        <v>2906</v>
      </c>
      <c r="F57" s="13"/>
      <c r="G57" s="13"/>
      <c r="H57" s="5">
        <v>320</v>
      </c>
      <c r="I57" s="13"/>
      <c r="K57" s="5">
        <v>12</v>
      </c>
      <c r="N57" s="5">
        <v>3</v>
      </c>
      <c r="Q57" s="5">
        <v>2890</v>
      </c>
      <c r="T57" s="5">
        <v>237</v>
      </c>
      <c r="W57" s="5">
        <v>221</v>
      </c>
      <c r="X57" s="13"/>
      <c r="Y57" s="13"/>
    </row>
    <row r="58" spans="1:28" x14ac:dyDescent="0.2">
      <c r="A58" s="116">
        <v>44501</v>
      </c>
      <c r="B58" s="5">
        <v>38781</v>
      </c>
      <c r="C58" s="13"/>
      <c r="D58" s="13"/>
      <c r="E58" s="5">
        <v>2907</v>
      </c>
      <c r="F58" s="13"/>
      <c r="G58" s="13"/>
      <c r="H58" s="5">
        <v>322</v>
      </c>
      <c r="I58" s="13"/>
      <c r="K58" s="5">
        <v>12</v>
      </c>
      <c r="N58" s="5">
        <v>3</v>
      </c>
      <c r="Q58" s="5">
        <v>2890</v>
      </c>
      <c r="T58" s="5">
        <v>237</v>
      </c>
      <c r="W58" s="5">
        <v>221</v>
      </c>
      <c r="X58" s="13"/>
      <c r="Y58" s="13"/>
    </row>
    <row r="59" spans="1:28" x14ac:dyDescent="0.2">
      <c r="A59" s="116">
        <v>44531</v>
      </c>
      <c r="B59" s="5">
        <v>38823</v>
      </c>
      <c r="C59" s="13"/>
      <c r="D59" s="13"/>
      <c r="E59" s="5">
        <v>2918</v>
      </c>
      <c r="F59" s="13"/>
      <c r="G59" s="13"/>
      <c r="H59" s="5">
        <v>327</v>
      </c>
      <c r="I59" s="13"/>
      <c r="K59" s="5">
        <v>12</v>
      </c>
      <c r="N59" s="5">
        <v>3</v>
      </c>
      <c r="Q59" s="5">
        <v>2890</v>
      </c>
      <c r="T59" s="5">
        <v>237</v>
      </c>
      <c r="W59" s="5">
        <v>221</v>
      </c>
      <c r="X59" s="13"/>
      <c r="Y59" s="13"/>
    </row>
    <row r="60" spans="1:28" x14ac:dyDescent="0.2">
      <c r="A60" s="116">
        <v>44562</v>
      </c>
      <c r="B60" s="5">
        <f t="shared" ref="B60:B71" si="12">B59+$B$44/12</f>
        <v>38885.5</v>
      </c>
      <c r="C60" s="13">
        <f>B60/B59</f>
        <v>1.0016098704376273</v>
      </c>
      <c r="D60" s="13"/>
      <c r="E60" s="130">
        <f>E59*F60</f>
        <v>2922.3728559552128</v>
      </c>
      <c r="F60" s="13">
        <f>F$28^(1/12)</f>
        <v>1.0014985798338631</v>
      </c>
      <c r="G60" s="13"/>
      <c r="H60" s="130">
        <f>H59*I60</f>
        <v>327.89165950580741</v>
      </c>
      <c r="I60" s="13">
        <f>I$28^(1/12)</f>
        <v>1.0027267874795334</v>
      </c>
      <c r="J60" s="13"/>
      <c r="K60" s="5">
        <v>12</v>
      </c>
      <c r="L60" s="13"/>
      <c r="M60" s="13"/>
      <c r="N60" s="5">
        <v>3</v>
      </c>
      <c r="O60" s="13"/>
      <c r="P60" s="13"/>
      <c r="Q60" s="5">
        <v>2890</v>
      </c>
      <c r="R60" s="13"/>
      <c r="S60" s="13"/>
      <c r="T60" s="5">
        <v>235.41099709289853</v>
      </c>
      <c r="U60" s="13"/>
      <c r="V60" s="13"/>
      <c r="W60" s="5">
        <v>218.11771482818034</v>
      </c>
      <c r="X60" s="13"/>
      <c r="Y60" s="13"/>
      <c r="AB60" s="35"/>
    </row>
    <row r="61" spans="1:28" x14ac:dyDescent="0.2">
      <c r="A61" s="116">
        <v>44593</v>
      </c>
      <c r="B61" s="5">
        <f t="shared" si="12"/>
        <v>38948</v>
      </c>
      <c r="C61" s="13">
        <f>B61/B60</f>
        <v>1.0016072829203688</v>
      </c>
      <c r="D61" s="13"/>
      <c r="E61" s="5">
        <f>E60*F61</f>
        <v>2926.7522649841762</v>
      </c>
      <c r="F61" s="13">
        <f>F60</f>
        <v>1.0014985798338631</v>
      </c>
      <c r="G61" s="13"/>
      <c r="H61" s="5">
        <f>H60*I61</f>
        <v>328.78575037759128</v>
      </c>
      <c r="I61" s="13">
        <f>I60</f>
        <v>1.0027267874795334</v>
      </c>
      <c r="J61" s="13"/>
      <c r="K61" s="5">
        <f>K60*L61</f>
        <v>12</v>
      </c>
      <c r="L61" s="13">
        <v>1</v>
      </c>
      <c r="M61" s="13"/>
      <c r="N61" s="5">
        <f>N60*O61</f>
        <v>3</v>
      </c>
      <c r="O61" s="13">
        <v>1</v>
      </c>
      <c r="P61" s="13"/>
      <c r="Q61" s="5">
        <f>Q60*R61</f>
        <v>2892.6614919446065</v>
      </c>
      <c r="R61" s="13">
        <f>R$26^(1/12)</f>
        <v>1.000920931468722</v>
      </c>
      <c r="S61" s="13"/>
      <c r="T61" s="5">
        <f>T60*U61</f>
        <v>235.16771296526861</v>
      </c>
      <c r="U61" s="13">
        <f>U$26^(1/12)</f>
        <v>0.9989665558082067</v>
      </c>
      <c r="V61" s="13"/>
      <c r="W61" s="5">
        <f>W60*X61</f>
        <v>218.3861172365564</v>
      </c>
      <c r="X61" s="13">
        <f>X$26^(1/12)</f>
        <v>1.0012305392461474</v>
      </c>
      <c r="Y61" s="13"/>
    </row>
    <row r="62" spans="1:28" x14ac:dyDescent="0.2">
      <c r="A62" s="116">
        <v>44621</v>
      </c>
      <c r="B62" s="5">
        <f t="shared" si="12"/>
        <v>39010.5</v>
      </c>
      <c r="C62" s="13">
        <f t="shared" ref="C62:C83" si="13">B62/B61</f>
        <v>1.0016047037075075</v>
      </c>
      <c r="D62" s="13"/>
      <c r="E62" s="5">
        <f t="shared" ref="E62:E83" si="14">E61*F62</f>
        <v>2931.1382369071948</v>
      </c>
      <c r="F62" s="13">
        <f t="shared" ref="F62:F83" si="15">F61</f>
        <v>1.0014985798338631</v>
      </c>
      <c r="G62" s="13"/>
      <c r="H62" s="130">
        <f t="shared" ref="H62:H83" si="16">H61*I62</f>
        <v>329.68227924516987</v>
      </c>
      <c r="I62" s="13">
        <f t="shared" ref="I62:I83" si="17">I61</f>
        <v>1.0027267874795334</v>
      </c>
      <c r="J62" s="13"/>
      <c r="K62" s="5">
        <f t="shared" ref="K62:K83" si="18">K61*L62</f>
        <v>12</v>
      </c>
      <c r="L62" s="13">
        <f t="shared" ref="L62:L83" si="19">L61</f>
        <v>1</v>
      </c>
      <c r="M62" s="13"/>
      <c r="N62" s="5">
        <f t="shared" ref="N62:N83" si="20">N61*O62</f>
        <v>3</v>
      </c>
      <c r="O62" s="13">
        <f t="shared" ref="O62:O83" si="21">O61</f>
        <v>1</v>
      </c>
      <c r="P62" s="13"/>
      <c r="Q62" s="5">
        <f t="shared" ref="Q62:Q83" si="22">Q61*R62</f>
        <v>2895.3254349408985</v>
      </c>
      <c r="R62" s="13">
        <f t="shared" ref="R62:R83" si="23">R61</f>
        <v>1.000920931468722</v>
      </c>
      <c r="S62" s="13"/>
      <c r="T62" s="5">
        <f t="shared" ref="T62:T83" si="24">T61*U62</f>
        <v>234.92468025820733</v>
      </c>
      <c r="U62" s="13">
        <f t="shared" ref="U62:U83" si="25">U61</f>
        <v>0.9989665558082067</v>
      </c>
      <c r="V62" s="13"/>
      <c r="W62" s="5">
        <f t="shared" ref="W62:W83" si="26">W61*X62</f>
        <v>218.65484992462973</v>
      </c>
      <c r="X62" s="13">
        <f t="shared" ref="X62:X83" si="27">X61</f>
        <v>1.0012305392461474</v>
      </c>
      <c r="Y62" s="13"/>
    </row>
    <row r="63" spans="1:28" x14ac:dyDescent="0.2">
      <c r="A63" s="116">
        <v>44652</v>
      </c>
      <c r="B63" s="5">
        <f t="shared" si="12"/>
        <v>39073</v>
      </c>
      <c r="C63" s="13">
        <f t="shared" si="13"/>
        <v>1.0016021327591289</v>
      </c>
      <c r="D63" s="13"/>
      <c r="E63" s="5">
        <f t="shared" si="14"/>
        <v>2935.5307815592892</v>
      </c>
      <c r="F63" s="13">
        <f t="shared" si="15"/>
        <v>1.0014985798338631</v>
      </c>
      <c r="G63" s="13"/>
      <c r="H63" s="130">
        <f t="shared" si="16"/>
        <v>330.5812527564396</v>
      </c>
      <c r="I63" s="13">
        <f t="shared" si="17"/>
        <v>1.0027267874795334</v>
      </c>
      <c r="J63" s="13"/>
      <c r="K63" s="5">
        <f t="shared" si="18"/>
        <v>12</v>
      </c>
      <c r="L63" s="13">
        <f t="shared" si="19"/>
        <v>1</v>
      </c>
      <c r="M63" s="13"/>
      <c r="N63" s="5">
        <f t="shared" si="20"/>
        <v>3</v>
      </c>
      <c r="O63" s="13">
        <f t="shared" si="21"/>
        <v>1</v>
      </c>
      <c r="P63" s="13"/>
      <c r="Q63" s="5">
        <f t="shared" si="22"/>
        <v>2897.9918312461268</v>
      </c>
      <c r="R63" s="13">
        <f t="shared" si="23"/>
        <v>1.000920931468722</v>
      </c>
      <c r="S63" s="13"/>
      <c r="T63" s="5">
        <f t="shared" si="24"/>
        <v>234.68189871188559</v>
      </c>
      <c r="U63" s="13">
        <f t="shared" si="25"/>
        <v>0.9989665558082067</v>
      </c>
      <c r="V63" s="13"/>
      <c r="W63" s="5">
        <f t="shared" si="26"/>
        <v>218.92391329882244</v>
      </c>
      <c r="X63" s="13">
        <f t="shared" si="27"/>
        <v>1.0012305392461474</v>
      </c>
      <c r="Y63" s="13"/>
    </row>
    <row r="64" spans="1:28" x14ac:dyDescent="0.2">
      <c r="A64" s="116">
        <v>44682</v>
      </c>
      <c r="B64" s="5">
        <f t="shared" si="12"/>
        <v>39135.5</v>
      </c>
      <c r="C64" s="13">
        <f t="shared" si="13"/>
        <v>1.0015995700355744</v>
      </c>
      <c r="D64" s="13"/>
      <c r="E64" s="5">
        <f t="shared" si="14"/>
        <v>2939.9299087902186</v>
      </c>
      <c r="F64" s="13">
        <f t="shared" si="15"/>
        <v>1.0014985798338631</v>
      </c>
      <c r="G64" s="13"/>
      <c r="H64" s="130">
        <f t="shared" si="16"/>
        <v>331.48267757742428</v>
      </c>
      <c r="I64" s="13">
        <f t="shared" si="17"/>
        <v>1.0027267874795334</v>
      </c>
      <c r="J64" s="13"/>
      <c r="K64" s="5">
        <f t="shared" si="18"/>
        <v>12</v>
      </c>
      <c r="L64" s="13">
        <f t="shared" si="19"/>
        <v>1</v>
      </c>
      <c r="M64" s="13"/>
      <c r="N64" s="5">
        <f t="shared" si="20"/>
        <v>3</v>
      </c>
      <c r="O64" s="13">
        <f t="shared" si="21"/>
        <v>1</v>
      </c>
      <c r="P64" s="13"/>
      <c r="Q64" s="5">
        <f t="shared" si="22"/>
        <v>2900.6606831196204</v>
      </c>
      <c r="R64" s="13">
        <f t="shared" si="23"/>
        <v>1.000920931468722</v>
      </c>
      <c r="S64" s="13"/>
      <c r="T64" s="5">
        <f t="shared" si="24"/>
        <v>234.43936806674279</v>
      </c>
      <c r="U64" s="13">
        <f t="shared" si="25"/>
        <v>0.9989665558082067</v>
      </c>
      <c r="V64" s="13"/>
      <c r="W64" s="5">
        <f t="shared" si="26"/>
        <v>219.19330776605679</v>
      </c>
      <c r="X64" s="13">
        <f t="shared" si="27"/>
        <v>1.0012305392461474</v>
      </c>
      <c r="Y64" s="13"/>
    </row>
    <row r="65" spans="1:25" x14ac:dyDescent="0.2">
      <c r="A65" s="116">
        <v>44713</v>
      </c>
      <c r="B65" s="5">
        <f t="shared" si="12"/>
        <v>39198</v>
      </c>
      <c r="C65" s="13">
        <f t="shared" si="13"/>
        <v>1.0015970154974383</v>
      </c>
      <c r="D65" s="13"/>
      <c r="E65" s="5">
        <f t="shared" si="14"/>
        <v>2944.3356284645029</v>
      </c>
      <c r="F65" s="13">
        <f t="shared" si="15"/>
        <v>1.0014985798338631</v>
      </c>
      <c r="G65" s="13"/>
      <c r="H65" s="130">
        <f t="shared" si="16"/>
        <v>332.38656039232461</v>
      </c>
      <c r="I65" s="13">
        <f t="shared" si="17"/>
        <v>1.0027267874795334</v>
      </c>
      <c r="J65" s="13"/>
      <c r="K65" s="5">
        <f t="shared" si="18"/>
        <v>12</v>
      </c>
      <c r="L65" s="13">
        <f t="shared" si="19"/>
        <v>1</v>
      </c>
      <c r="M65" s="13"/>
      <c r="N65" s="5">
        <f t="shared" si="20"/>
        <v>3</v>
      </c>
      <c r="O65" s="13">
        <f t="shared" si="21"/>
        <v>1</v>
      </c>
      <c r="P65" s="13"/>
      <c r="Q65" s="5">
        <f t="shared" si="22"/>
        <v>2903.3319928227897</v>
      </c>
      <c r="R65" s="13">
        <f t="shared" si="23"/>
        <v>1.000920931468722</v>
      </c>
      <c r="S65" s="13"/>
      <c r="T65" s="5">
        <f t="shared" si="24"/>
        <v>234.19708806348652</v>
      </c>
      <c r="U65" s="13">
        <f t="shared" si="25"/>
        <v>0.9989665558082067</v>
      </c>
      <c r="V65" s="13"/>
      <c r="W65" s="5">
        <f t="shared" si="26"/>
        <v>219.46303373375579</v>
      </c>
      <c r="X65" s="13">
        <f t="shared" si="27"/>
        <v>1.0012305392461474</v>
      </c>
      <c r="Y65" s="13"/>
    </row>
    <row r="66" spans="1:25" x14ac:dyDescent="0.2">
      <c r="A66" s="116">
        <v>44743</v>
      </c>
      <c r="B66" s="5">
        <f>B65+$B$44/12</f>
        <v>39260.5</v>
      </c>
      <c r="C66" s="13">
        <f t="shared" si="13"/>
        <v>1.0015944691055667</v>
      </c>
      <c r="D66" s="13"/>
      <c r="E66" s="5">
        <f t="shared" si="14"/>
        <v>2948.7479504614444</v>
      </c>
      <c r="F66" s="13">
        <f t="shared" si="15"/>
        <v>1.0014985798338631</v>
      </c>
      <c r="G66" s="13"/>
      <c r="H66" s="130">
        <f t="shared" si="16"/>
        <v>333.29290790356754</v>
      </c>
      <c r="I66" s="13">
        <f t="shared" si="17"/>
        <v>1.0027267874795334</v>
      </c>
      <c r="J66" s="13"/>
      <c r="K66" s="5">
        <f t="shared" si="18"/>
        <v>12</v>
      </c>
      <c r="L66" s="13">
        <f t="shared" si="19"/>
        <v>1</v>
      </c>
      <c r="M66" s="13"/>
      <c r="N66" s="5">
        <f t="shared" si="20"/>
        <v>3</v>
      </c>
      <c r="O66" s="13">
        <f t="shared" si="21"/>
        <v>1</v>
      </c>
      <c r="P66" s="13"/>
      <c r="Q66" s="5">
        <f t="shared" si="22"/>
        <v>2906.0057626191274</v>
      </c>
      <c r="R66" s="13">
        <f t="shared" si="23"/>
        <v>1.000920931468722</v>
      </c>
      <c r="S66" s="13"/>
      <c r="T66" s="5">
        <f t="shared" si="24"/>
        <v>233.95505844309241</v>
      </c>
      <c r="U66" s="13">
        <f t="shared" si="25"/>
        <v>0.9989665558082067</v>
      </c>
      <c r="V66" s="13"/>
      <c r="W66" s="5">
        <f t="shared" si="26"/>
        <v>219.73309160984374</v>
      </c>
      <c r="X66" s="13">
        <f t="shared" si="27"/>
        <v>1.0012305392461474</v>
      </c>
      <c r="Y66" s="13"/>
    </row>
    <row r="67" spans="1:25" x14ac:dyDescent="0.2">
      <c r="A67" s="116">
        <v>44774</v>
      </c>
      <c r="B67" s="5">
        <f t="shared" si="12"/>
        <v>39323</v>
      </c>
      <c r="C67" s="13">
        <f t="shared" si="13"/>
        <v>1.0015919308210541</v>
      </c>
      <c r="D67" s="13"/>
      <c r="E67" s="5">
        <f t="shared" si="14"/>
        <v>2953.1668846751513</v>
      </c>
      <c r="F67" s="13">
        <f t="shared" si="15"/>
        <v>1.0014985798338631</v>
      </c>
      <c r="G67" s="13"/>
      <c r="H67" s="130">
        <f t="shared" si="16"/>
        <v>334.20172683185626</v>
      </c>
      <c r="I67" s="13">
        <f t="shared" si="17"/>
        <v>1.0027267874795334</v>
      </c>
      <c r="J67" s="13"/>
      <c r="K67" s="5">
        <f t="shared" si="18"/>
        <v>12</v>
      </c>
      <c r="L67" s="13">
        <f t="shared" si="19"/>
        <v>1</v>
      </c>
      <c r="M67" s="13"/>
      <c r="N67" s="5">
        <f t="shared" si="20"/>
        <v>3</v>
      </c>
      <c r="O67" s="13">
        <f t="shared" si="21"/>
        <v>1</v>
      </c>
      <c r="P67" s="13"/>
      <c r="Q67" s="5">
        <f t="shared" si="22"/>
        <v>2908.6819947742106</v>
      </c>
      <c r="R67" s="13">
        <f t="shared" si="23"/>
        <v>1.000920931468722</v>
      </c>
      <c r="S67" s="13"/>
      <c r="T67" s="5">
        <f t="shared" si="24"/>
        <v>233.71327894680374</v>
      </c>
      <c r="U67" s="13">
        <f t="shared" si="25"/>
        <v>0.9989665558082067</v>
      </c>
      <c r="V67" s="13"/>
      <c r="W67" s="5">
        <f t="shared" si="26"/>
        <v>220.00348180274693</v>
      </c>
      <c r="X67" s="13">
        <f t="shared" si="27"/>
        <v>1.0012305392461474</v>
      </c>
      <c r="Y67" s="13"/>
    </row>
    <row r="68" spans="1:25" x14ac:dyDescent="0.2">
      <c r="A68" s="116">
        <v>44805</v>
      </c>
      <c r="B68" s="5">
        <f t="shared" si="12"/>
        <v>39385.5</v>
      </c>
      <c r="C68" s="13">
        <f t="shared" si="13"/>
        <v>1.0015894006052437</v>
      </c>
      <c r="D68" s="13"/>
      <c r="E68" s="5">
        <f t="shared" si="14"/>
        <v>2957.5924410145581</v>
      </c>
      <c r="F68" s="13">
        <f t="shared" si="15"/>
        <v>1.0014985798338631</v>
      </c>
      <c r="G68" s="13"/>
      <c r="H68" s="130">
        <f t="shared" si="16"/>
        <v>335.11302391621979</v>
      </c>
      <c r="I68" s="13">
        <f t="shared" si="17"/>
        <v>1.0027267874795334</v>
      </c>
      <c r="J68" s="13"/>
      <c r="K68" s="5">
        <f t="shared" si="18"/>
        <v>12</v>
      </c>
      <c r="L68" s="13">
        <f t="shared" si="19"/>
        <v>1</v>
      </c>
      <c r="M68" s="13"/>
      <c r="N68" s="5">
        <f t="shared" si="20"/>
        <v>3</v>
      </c>
      <c r="O68" s="13">
        <f t="shared" si="21"/>
        <v>1</v>
      </c>
      <c r="P68" s="13"/>
      <c r="Q68" s="5">
        <f t="shared" si="22"/>
        <v>2911.3606915557029</v>
      </c>
      <c r="R68" s="13">
        <f t="shared" si="23"/>
        <v>1.000920931468722</v>
      </c>
      <c r="S68" s="13"/>
      <c r="T68" s="5">
        <f t="shared" si="24"/>
        <v>233.47174931613119</v>
      </c>
      <c r="U68" s="13">
        <f t="shared" si="25"/>
        <v>0.9989665558082067</v>
      </c>
      <c r="V68" s="13"/>
      <c r="W68" s="5">
        <f t="shared" si="26"/>
        <v>220.27420472139428</v>
      </c>
      <c r="X68" s="13">
        <f t="shared" si="27"/>
        <v>1.0012305392461474</v>
      </c>
      <c r="Y68" s="13"/>
    </row>
    <row r="69" spans="1:25" x14ac:dyDescent="0.2">
      <c r="A69" s="116">
        <v>44835</v>
      </c>
      <c r="B69" s="5">
        <f t="shared" si="12"/>
        <v>39448</v>
      </c>
      <c r="C69" s="13">
        <f t="shared" si="13"/>
        <v>1.001586878419723</v>
      </c>
      <c r="D69" s="13"/>
      <c r="E69" s="5">
        <f t="shared" si="14"/>
        <v>2962.0246294034487</v>
      </c>
      <c r="F69" s="13">
        <f t="shared" si="15"/>
        <v>1.0014985798338631</v>
      </c>
      <c r="G69" s="13"/>
      <c r="H69" s="130">
        <f t="shared" si="16"/>
        <v>336.02680591406312</v>
      </c>
      <c r="I69" s="13">
        <f t="shared" si="17"/>
        <v>1.0027267874795334</v>
      </c>
      <c r="J69" s="13"/>
      <c r="K69" s="5">
        <f t="shared" si="18"/>
        <v>12</v>
      </c>
      <c r="L69" s="13">
        <f t="shared" si="19"/>
        <v>1</v>
      </c>
      <c r="M69" s="13"/>
      <c r="N69" s="5">
        <f t="shared" si="20"/>
        <v>3</v>
      </c>
      <c r="O69" s="13">
        <f t="shared" si="21"/>
        <v>1</v>
      </c>
      <c r="P69" s="13"/>
      <c r="Q69" s="5">
        <f t="shared" si="22"/>
        <v>2914.0418552333567</v>
      </c>
      <c r="R69" s="13">
        <f t="shared" si="23"/>
        <v>1.000920931468722</v>
      </c>
      <c r="S69" s="13"/>
      <c r="T69" s="5">
        <f t="shared" si="24"/>
        <v>233.23046929285263</v>
      </c>
      <c r="U69" s="13">
        <f t="shared" si="25"/>
        <v>0.9989665558082067</v>
      </c>
      <c r="V69" s="13"/>
      <c r="W69" s="5">
        <f t="shared" si="26"/>
        <v>220.54526077521786</v>
      </c>
      <c r="X69" s="13">
        <f t="shared" si="27"/>
        <v>1.0012305392461474</v>
      </c>
      <c r="Y69" s="13"/>
    </row>
    <row r="70" spans="1:25" x14ac:dyDescent="0.2">
      <c r="A70" s="116">
        <v>44866</v>
      </c>
      <c r="B70" s="5">
        <f t="shared" si="12"/>
        <v>39510.5</v>
      </c>
      <c r="C70" s="13">
        <f t="shared" si="13"/>
        <v>1.0015843642263234</v>
      </c>
      <c r="D70" s="13"/>
      <c r="E70" s="5">
        <f t="shared" si="14"/>
        <v>2966.4634597804788</v>
      </c>
      <c r="F70" s="13">
        <f t="shared" si="15"/>
        <v>1.0014985798338631</v>
      </c>
      <c r="G70" s="13"/>
      <c r="H70" s="130">
        <f t="shared" si="16"/>
        <v>336.94307960121716</v>
      </c>
      <c r="I70" s="13">
        <f t="shared" si="17"/>
        <v>1.0027267874795334</v>
      </c>
      <c r="J70" s="13"/>
      <c r="K70" s="5">
        <f t="shared" si="18"/>
        <v>12</v>
      </c>
      <c r="L70" s="13">
        <f t="shared" si="19"/>
        <v>1</v>
      </c>
      <c r="M70" s="13"/>
      <c r="N70" s="5">
        <f t="shared" si="20"/>
        <v>3</v>
      </c>
      <c r="O70" s="13">
        <f t="shared" si="21"/>
        <v>1</v>
      </c>
      <c r="P70" s="13"/>
      <c r="Q70" s="5">
        <f t="shared" si="22"/>
        <v>2916.7254880790142</v>
      </c>
      <c r="R70" s="13">
        <f t="shared" si="23"/>
        <v>1.000920931468722</v>
      </c>
      <c r="S70" s="13"/>
      <c r="T70" s="5">
        <f t="shared" si="24"/>
        <v>232.9894386190127</v>
      </c>
      <c r="U70" s="13">
        <f t="shared" si="25"/>
        <v>0.9989665558082067</v>
      </c>
      <c r="V70" s="13"/>
      <c r="W70" s="5">
        <f t="shared" si="26"/>
        <v>220.81665037415357</v>
      </c>
      <c r="X70" s="13">
        <f t="shared" si="27"/>
        <v>1.0012305392461474</v>
      </c>
      <c r="Y70" s="13"/>
    </row>
    <row r="71" spans="1:25" x14ac:dyDescent="0.2">
      <c r="A71" s="116">
        <v>44896</v>
      </c>
      <c r="B71" s="5">
        <f t="shared" si="12"/>
        <v>39573</v>
      </c>
      <c r="C71" s="13">
        <f t="shared" si="13"/>
        <v>1.0015818579871174</v>
      </c>
      <c r="D71" s="13"/>
      <c r="E71" s="5">
        <f t="shared" si="14"/>
        <v>2970.9089420991977</v>
      </c>
      <c r="F71" s="13">
        <f t="shared" si="15"/>
        <v>1.0014985798338631</v>
      </c>
      <c r="G71" s="13"/>
      <c r="H71" s="130">
        <f t="shared" si="16"/>
        <v>337.86185177198917</v>
      </c>
      <c r="I71" s="13">
        <f t="shared" si="17"/>
        <v>1.0027267874795334</v>
      </c>
      <c r="J71" s="13"/>
      <c r="K71" s="5">
        <f t="shared" si="18"/>
        <v>12</v>
      </c>
      <c r="L71" s="13">
        <f t="shared" si="19"/>
        <v>1</v>
      </c>
      <c r="M71" s="13"/>
      <c r="N71" s="5">
        <f t="shared" si="20"/>
        <v>3</v>
      </c>
      <c r="O71" s="13">
        <f t="shared" si="21"/>
        <v>1</v>
      </c>
      <c r="P71" s="13"/>
      <c r="Q71" s="5">
        <f t="shared" si="22"/>
        <v>2919.4115923666095</v>
      </c>
      <c r="R71" s="13">
        <f t="shared" si="23"/>
        <v>1.000920931468722</v>
      </c>
      <c r="S71" s="13"/>
      <c r="T71" s="5">
        <f t="shared" si="24"/>
        <v>232.74865703692271</v>
      </c>
      <c r="U71" s="13">
        <f t="shared" si="25"/>
        <v>0.9989665558082067</v>
      </c>
      <c r="V71" s="13"/>
      <c r="W71" s="5">
        <f t="shared" si="26"/>
        <v>221.08837392864177</v>
      </c>
      <c r="X71" s="13">
        <f t="shared" si="27"/>
        <v>1.0012305392461474</v>
      </c>
      <c r="Y71" s="13"/>
    </row>
    <row r="72" spans="1:25" x14ac:dyDescent="0.2">
      <c r="A72" s="116">
        <v>44927</v>
      </c>
      <c r="B72" s="5">
        <f t="shared" ref="B72:B83" si="28">B71+$B$45/12</f>
        <v>39652.166666666664</v>
      </c>
      <c r="C72" s="13">
        <f t="shared" si="13"/>
        <v>1.0020005222415957</v>
      </c>
      <c r="D72" s="13"/>
      <c r="E72" s="5">
        <f t="shared" si="14"/>
        <v>2975.3610863280715</v>
      </c>
      <c r="F72" s="13">
        <f t="shared" si="15"/>
        <v>1.0014985798338631</v>
      </c>
      <c r="G72" s="13"/>
      <c r="H72" s="130">
        <f t="shared" si="16"/>
        <v>338.783129239213</v>
      </c>
      <c r="I72" s="13">
        <f t="shared" si="17"/>
        <v>1.0027267874795334</v>
      </c>
      <c r="J72" s="13"/>
      <c r="K72" s="5">
        <f t="shared" si="18"/>
        <v>12</v>
      </c>
      <c r="L72" s="13">
        <v>1</v>
      </c>
      <c r="M72" s="13"/>
      <c r="N72" s="5">
        <f t="shared" si="20"/>
        <v>3</v>
      </c>
      <c r="O72" s="13">
        <v>1</v>
      </c>
      <c r="P72" s="13"/>
      <c r="Q72" s="5">
        <f t="shared" si="22"/>
        <v>2919.4115923666095</v>
      </c>
      <c r="R72" s="13">
        <v>1</v>
      </c>
      <c r="S72" s="13"/>
      <c r="T72" s="5">
        <f t="shared" si="24"/>
        <v>232.50812428916021</v>
      </c>
      <c r="U72" s="13">
        <f>U$26^(1/12)</f>
        <v>0.9989665558082067</v>
      </c>
      <c r="V72" s="13"/>
      <c r="W72" s="5">
        <f t="shared" si="26"/>
        <v>221.36043184962787</v>
      </c>
      <c r="X72" s="13">
        <f t="shared" si="27"/>
        <v>1.0012305392461474</v>
      </c>
      <c r="Y72" s="13"/>
    </row>
    <row r="73" spans="1:25" x14ac:dyDescent="0.2">
      <c r="A73" s="116">
        <v>44958</v>
      </c>
      <c r="B73" s="5">
        <f t="shared" si="28"/>
        <v>39731.333333333328</v>
      </c>
      <c r="C73" s="13">
        <f t="shared" si="13"/>
        <v>1.0019965281426404</v>
      </c>
      <c r="D73" s="13"/>
      <c r="E73" s="5">
        <f t="shared" si="14"/>
        <v>2979.8199024505038</v>
      </c>
      <c r="F73" s="13">
        <f t="shared" si="15"/>
        <v>1.0014985798338631</v>
      </c>
      <c r="G73" s="13"/>
      <c r="H73" s="130">
        <f t="shared" si="16"/>
        <v>339.70691883429964</v>
      </c>
      <c r="I73" s="13">
        <f t="shared" si="17"/>
        <v>1.0027267874795334</v>
      </c>
      <c r="J73" s="13"/>
      <c r="K73" s="5">
        <f t="shared" si="18"/>
        <v>12</v>
      </c>
      <c r="L73" s="13">
        <f t="shared" si="19"/>
        <v>1</v>
      </c>
      <c r="M73" s="13"/>
      <c r="N73" s="5">
        <f t="shared" si="20"/>
        <v>3</v>
      </c>
      <c r="O73" s="13">
        <f t="shared" si="21"/>
        <v>1</v>
      </c>
      <c r="P73" s="13"/>
      <c r="Q73" s="5">
        <f t="shared" si="22"/>
        <v>2919.4115923666095</v>
      </c>
      <c r="R73" s="13">
        <f t="shared" si="23"/>
        <v>1</v>
      </c>
      <c r="S73" s="13"/>
      <c r="T73" s="5">
        <f t="shared" si="24"/>
        <v>232.26784011856881</v>
      </c>
      <c r="U73" s="13">
        <f t="shared" si="25"/>
        <v>0.9989665558082067</v>
      </c>
      <c r="V73" s="13"/>
      <c r="W73" s="5">
        <f t="shared" si="26"/>
        <v>221.63282454856298</v>
      </c>
      <c r="X73" s="13">
        <f>X$26^(1/12)</f>
        <v>1.0012305392461474</v>
      </c>
      <c r="Y73" s="13"/>
    </row>
    <row r="74" spans="1:25" x14ac:dyDescent="0.2">
      <c r="A74" s="116">
        <v>44986</v>
      </c>
      <c r="B74" s="5">
        <f t="shared" si="28"/>
        <v>39810.499999999993</v>
      </c>
      <c r="C74" s="13">
        <f t="shared" si="13"/>
        <v>1.0019925499605684</v>
      </c>
      <c r="D74" s="13"/>
      <c r="E74" s="5">
        <f t="shared" si="14"/>
        <v>2984.2854004648602</v>
      </c>
      <c r="F74" s="13">
        <f t="shared" si="15"/>
        <v>1.0014985798338631</v>
      </c>
      <c r="G74" s="13"/>
      <c r="H74" s="130">
        <f t="shared" si="16"/>
        <v>340.63322740728785</v>
      </c>
      <c r="I74" s="13">
        <f t="shared" si="17"/>
        <v>1.0027267874795334</v>
      </c>
      <c r="J74" s="13"/>
      <c r="K74" s="5">
        <f t="shared" si="18"/>
        <v>12</v>
      </c>
      <c r="L74" s="13">
        <f t="shared" si="19"/>
        <v>1</v>
      </c>
      <c r="M74" s="13"/>
      <c r="N74" s="5">
        <f t="shared" si="20"/>
        <v>3</v>
      </c>
      <c r="O74" s="13">
        <f t="shared" si="21"/>
        <v>1</v>
      </c>
      <c r="P74" s="13"/>
      <c r="Q74" s="5">
        <f t="shared" si="22"/>
        <v>2919.4115923666095</v>
      </c>
      <c r="R74" s="13">
        <f t="shared" si="23"/>
        <v>1</v>
      </c>
      <c r="S74" s="13"/>
      <c r="T74" s="5">
        <f t="shared" si="24"/>
        <v>232.02780426825791</v>
      </c>
      <c r="U74" s="13">
        <f t="shared" si="25"/>
        <v>0.9989665558082067</v>
      </c>
      <c r="V74" s="13"/>
      <c r="W74" s="5">
        <f t="shared" si="26"/>
        <v>221.90555243740448</v>
      </c>
      <c r="X74" s="13">
        <f t="shared" si="27"/>
        <v>1.0012305392461474</v>
      </c>
      <c r="Y74" s="13"/>
    </row>
    <row r="75" spans="1:25" x14ac:dyDescent="0.2">
      <c r="A75" s="116">
        <v>45017</v>
      </c>
      <c r="B75" s="5">
        <f t="shared" si="28"/>
        <v>39889.666666666657</v>
      </c>
      <c r="C75" s="13">
        <f t="shared" si="13"/>
        <v>1.0019885876004235</v>
      </c>
      <c r="D75" s="13"/>
      <c r="E75" s="5">
        <f t="shared" si="14"/>
        <v>2988.757590384489</v>
      </c>
      <c r="F75" s="13">
        <f t="shared" si="15"/>
        <v>1.0014985798338631</v>
      </c>
      <c r="G75" s="13"/>
      <c r="H75" s="130">
        <f t="shared" si="16"/>
        <v>341.5620618268951</v>
      </c>
      <c r="I75" s="13">
        <f t="shared" si="17"/>
        <v>1.0027267874795334</v>
      </c>
      <c r="J75" s="13"/>
      <c r="K75" s="5">
        <f t="shared" si="18"/>
        <v>12</v>
      </c>
      <c r="L75" s="13">
        <f t="shared" si="19"/>
        <v>1</v>
      </c>
      <c r="M75" s="13"/>
      <c r="N75" s="5">
        <f t="shared" si="20"/>
        <v>3</v>
      </c>
      <c r="O75" s="13">
        <f t="shared" si="21"/>
        <v>1</v>
      </c>
      <c r="P75" s="13"/>
      <c r="Q75" s="5">
        <f t="shared" si="22"/>
        <v>2919.4115923666095</v>
      </c>
      <c r="R75" s="13">
        <f t="shared" si="23"/>
        <v>1</v>
      </c>
      <c r="S75" s="13"/>
      <c r="T75" s="5">
        <f t="shared" si="24"/>
        <v>231.78801648160231</v>
      </c>
      <c r="U75" s="13">
        <f t="shared" si="25"/>
        <v>0.9989665558082067</v>
      </c>
      <c r="V75" s="13"/>
      <c r="W75" s="5">
        <f t="shared" si="26"/>
        <v>222.17861592861672</v>
      </c>
      <c r="X75" s="13">
        <f t="shared" si="27"/>
        <v>1.0012305392461474</v>
      </c>
      <c r="Y75" s="13"/>
    </row>
    <row r="76" spans="1:25" x14ac:dyDescent="0.2">
      <c r="A76" s="116">
        <v>45047</v>
      </c>
      <c r="B76" s="5">
        <f t="shared" si="28"/>
        <v>39968.833333333321</v>
      </c>
      <c r="C76" s="13">
        <f t="shared" si="13"/>
        <v>1.0019846409680033</v>
      </c>
      <c r="D76" s="13"/>
      <c r="E76" s="5">
        <f t="shared" si="14"/>
        <v>2993.2364822377444</v>
      </c>
      <c r="F76" s="13">
        <f t="shared" si="15"/>
        <v>1.0014985798338631</v>
      </c>
      <c r="G76" s="13"/>
      <c r="H76" s="130">
        <f t="shared" si="16"/>
        <v>342.4934289805683</v>
      </c>
      <c r="I76" s="13">
        <f t="shared" si="17"/>
        <v>1.0027267874795334</v>
      </c>
      <c r="J76" s="13"/>
      <c r="K76" s="5">
        <f t="shared" si="18"/>
        <v>12</v>
      </c>
      <c r="L76" s="13">
        <f t="shared" si="19"/>
        <v>1</v>
      </c>
      <c r="M76" s="13"/>
      <c r="N76" s="5">
        <f t="shared" si="20"/>
        <v>3</v>
      </c>
      <c r="O76" s="13">
        <f t="shared" si="21"/>
        <v>1</v>
      </c>
      <c r="P76" s="13"/>
      <c r="Q76" s="5">
        <f t="shared" si="22"/>
        <v>2919.4115923666095</v>
      </c>
      <c r="R76" s="13">
        <f t="shared" si="23"/>
        <v>1</v>
      </c>
      <c r="S76" s="13"/>
      <c r="T76" s="5">
        <f t="shared" si="24"/>
        <v>231.54847650224212</v>
      </c>
      <c r="U76" s="13">
        <f t="shared" si="25"/>
        <v>0.9989665558082067</v>
      </c>
      <c r="V76" s="13"/>
      <c r="W76" s="5">
        <f t="shared" si="26"/>
        <v>222.45201543517157</v>
      </c>
      <c r="X76" s="13">
        <f t="shared" si="27"/>
        <v>1.0012305392461474</v>
      </c>
      <c r="Y76" s="13"/>
    </row>
    <row r="77" spans="1:25" x14ac:dyDescent="0.2">
      <c r="A77" s="116">
        <v>45078</v>
      </c>
      <c r="B77" s="5">
        <f t="shared" si="28"/>
        <v>40047.999999999985</v>
      </c>
      <c r="C77" s="13">
        <f t="shared" si="13"/>
        <v>1.0019807099698514</v>
      </c>
      <c r="D77" s="13"/>
      <c r="E77" s="5">
        <f t="shared" si="14"/>
        <v>2997.7220860680095</v>
      </c>
      <c r="F77" s="13">
        <f t="shared" si="15"/>
        <v>1.0014985798338631</v>
      </c>
      <c r="G77" s="13"/>
      <c r="H77" s="130">
        <f t="shared" si="16"/>
        <v>343.42733577453498</v>
      </c>
      <c r="I77" s="13">
        <f t="shared" si="17"/>
        <v>1.0027267874795334</v>
      </c>
      <c r="J77" s="13"/>
      <c r="K77" s="5">
        <f t="shared" si="18"/>
        <v>12</v>
      </c>
      <c r="L77" s="13">
        <f t="shared" si="19"/>
        <v>1</v>
      </c>
      <c r="M77" s="13"/>
      <c r="N77" s="5">
        <f t="shared" si="20"/>
        <v>3</v>
      </c>
      <c r="O77" s="13">
        <f t="shared" si="21"/>
        <v>1</v>
      </c>
      <c r="P77" s="13"/>
      <c r="Q77" s="5">
        <f t="shared" si="22"/>
        <v>2919.4115923666095</v>
      </c>
      <c r="R77" s="13">
        <f t="shared" si="23"/>
        <v>1</v>
      </c>
      <c r="S77" s="13"/>
      <c r="T77" s="5">
        <f t="shared" si="24"/>
        <v>231.30918407408228</v>
      </c>
      <c r="U77" s="13">
        <f t="shared" si="25"/>
        <v>0.9989665558082067</v>
      </c>
      <c r="V77" s="13"/>
      <c r="W77" s="5">
        <f t="shared" si="26"/>
        <v>222.72575137054912</v>
      </c>
      <c r="X77" s="13">
        <f t="shared" si="27"/>
        <v>1.0012305392461474</v>
      </c>
      <c r="Y77" s="13"/>
    </row>
    <row r="78" spans="1:25" x14ac:dyDescent="0.2">
      <c r="A78" s="116">
        <v>45108</v>
      </c>
      <c r="B78" s="5">
        <f t="shared" si="28"/>
        <v>40127.16666666665</v>
      </c>
      <c r="C78" s="13">
        <f t="shared" si="13"/>
        <v>1.0019767945132507</v>
      </c>
      <c r="D78" s="13"/>
      <c r="E78" s="5">
        <f t="shared" si="14"/>
        <v>3002.2144119337172</v>
      </c>
      <c r="F78" s="13">
        <f t="shared" si="15"/>
        <v>1.0014985798338631</v>
      </c>
      <c r="G78" s="13"/>
      <c r="H78" s="130">
        <f t="shared" si="16"/>
        <v>344.36378913385448</v>
      </c>
      <c r="I78" s="13">
        <f t="shared" si="17"/>
        <v>1.0027267874795334</v>
      </c>
      <c r="J78" s="13"/>
      <c r="K78" s="5">
        <f t="shared" si="18"/>
        <v>12</v>
      </c>
      <c r="L78" s="13">
        <f t="shared" si="19"/>
        <v>1</v>
      </c>
      <c r="M78" s="13"/>
      <c r="N78" s="5">
        <f t="shared" si="20"/>
        <v>3</v>
      </c>
      <c r="O78" s="13">
        <f t="shared" si="21"/>
        <v>1</v>
      </c>
      <c r="P78" s="13"/>
      <c r="Q78" s="5">
        <f t="shared" si="22"/>
        <v>2919.4115923666095</v>
      </c>
      <c r="R78" s="13">
        <f t="shared" si="23"/>
        <v>1</v>
      </c>
      <c r="S78" s="13"/>
      <c r="T78" s="5">
        <f t="shared" si="24"/>
        <v>231.07013894129247</v>
      </c>
      <c r="U78" s="13">
        <f t="shared" si="25"/>
        <v>0.9989665558082067</v>
      </c>
      <c r="V78" s="13"/>
      <c r="W78" s="5">
        <f t="shared" si="26"/>
        <v>222.99982414873824</v>
      </c>
      <c r="X78" s="13">
        <f t="shared" si="27"/>
        <v>1.0012305392461474</v>
      </c>
      <c r="Y78" s="13"/>
    </row>
    <row r="79" spans="1:25" x14ac:dyDescent="0.2">
      <c r="A79" s="116">
        <v>45139</v>
      </c>
      <c r="B79" s="5">
        <f t="shared" si="28"/>
        <v>40206.333333333314</v>
      </c>
      <c r="C79" s="13">
        <f t="shared" si="13"/>
        <v>1.0019728945062156</v>
      </c>
      <c r="D79" s="13"/>
      <c r="E79" s="5">
        <f t="shared" si="14"/>
        <v>3006.7134699083745</v>
      </c>
      <c r="F79" s="13">
        <f t="shared" si="15"/>
        <v>1.0014985798338631</v>
      </c>
      <c r="G79" s="13"/>
      <c r="H79" s="130">
        <f t="shared" si="16"/>
        <v>345.30279600246934</v>
      </c>
      <c r="I79" s="13">
        <f t="shared" si="17"/>
        <v>1.0027267874795334</v>
      </c>
      <c r="J79" s="13"/>
      <c r="K79" s="5">
        <f t="shared" si="18"/>
        <v>12</v>
      </c>
      <c r="L79" s="13">
        <f t="shared" si="19"/>
        <v>1</v>
      </c>
      <c r="M79" s="13"/>
      <c r="N79" s="5">
        <f t="shared" si="20"/>
        <v>3</v>
      </c>
      <c r="O79" s="13">
        <f t="shared" si="21"/>
        <v>1</v>
      </c>
      <c r="P79" s="13"/>
      <c r="Q79" s="5">
        <f t="shared" si="22"/>
        <v>2919.4115923666095</v>
      </c>
      <c r="R79" s="13">
        <f t="shared" si="23"/>
        <v>1</v>
      </c>
      <c r="S79" s="13"/>
      <c r="T79" s="5">
        <f t="shared" si="24"/>
        <v>230.83134084830672</v>
      </c>
      <c r="U79" s="13">
        <f t="shared" si="25"/>
        <v>0.9989665558082067</v>
      </c>
      <c r="V79" s="13"/>
      <c r="W79" s="5">
        <f t="shared" si="26"/>
        <v>223.27423418423723</v>
      </c>
      <c r="X79" s="13">
        <f t="shared" si="27"/>
        <v>1.0012305392461474</v>
      </c>
      <c r="Y79" s="13"/>
    </row>
    <row r="80" spans="1:25" x14ac:dyDescent="0.2">
      <c r="A80" s="116">
        <v>45170</v>
      </c>
      <c r="B80" s="5">
        <f t="shared" si="28"/>
        <v>40285.499999999978</v>
      </c>
      <c r="C80" s="13">
        <f t="shared" si="13"/>
        <v>1.0019690098574852</v>
      </c>
      <c r="D80" s="13"/>
      <c r="E80" s="5">
        <f t="shared" si="14"/>
        <v>3011.219270080584</v>
      </c>
      <c r="F80" s="13">
        <f t="shared" si="15"/>
        <v>1.0014985798338631</v>
      </c>
      <c r="G80" s="13"/>
      <c r="H80" s="130">
        <f t="shared" si="16"/>
        <v>346.24436334325674</v>
      </c>
      <c r="I80" s="13">
        <f t="shared" si="17"/>
        <v>1.0027267874795334</v>
      </c>
      <c r="J80" s="13"/>
      <c r="K80" s="5">
        <f t="shared" si="18"/>
        <v>12</v>
      </c>
      <c r="L80" s="13">
        <f t="shared" si="19"/>
        <v>1</v>
      </c>
      <c r="M80" s="13"/>
      <c r="N80" s="5">
        <f t="shared" si="20"/>
        <v>3</v>
      </c>
      <c r="O80" s="13">
        <f t="shared" si="21"/>
        <v>1</v>
      </c>
      <c r="P80" s="13"/>
      <c r="Q80" s="5">
        <f t="shared" si="22"/>
        <v>2919.4115923666095</v>
      </c>
      <c r="R80" s="13">
        <f t="shared" si="23"/>
        <v>1</v>
      </c>
      <c r="S80" s="13"/>
      <c r="T80" s="5">
        <f t="shared" si="24"/>
        <v>230.59278953982317</v>
      </c>
      <c r="U80" s="13">
        <f t="shared" si="25"/>
        <v>0.9989665558082067</v>
      </c>
      <c r="V80" s="13"/>
      <c r="W80" s="5">
        <f t="shared" si="26"/>
        <v>223.54898189205443</v>
      </c>
      <c r="X80" s="13">
        <f t="shared" si="27"/>
        <v>1.0012305392461474</v>
      </c>
      <c r="Y80" s="13"/>
    </row>
    <row r="81" spans="1:25" x14ac:dyDescent="0.2">
      <c r="A81" s="116">
        <v>45200</v>
      </c>
      <c r="B81" s="5">
        <f t="shared" si="28"/>
        <v>40364.666666666642</v>
      </c>
      <c r="C81" s="13">
        <f t="shared" si="13"/>
        <v>1.0019651404765155</v>
      </c>
      <c r="E81" s="5">
        <f t="shared" si="14"/>
        <v>3015.7318225540671</v>
      </c>
      <c r="F81" s="13">
        <f t="shared" si="15"/>
        <v>1.0014985798338631</v>
      </c>
      <c r="H81" s="130">
        <f t="shared" si="16"/>
        <v>347.18849813808015</v>
      </c>
      <c r="I81" s="13">
        <f t="shared" si="17"/>
        <v>1.0027267874795334</v>
      </c>
      <c r="K81" s="5">
        <f t="shared" si="18"/>
        <v>12</v>
      </c>
      <c r="L81" s="13">
        <f t="shared" si="19"/>
        <v>1</v>
      </c>
      <c r="N81" s="5">
        <f t="shared" si="20"/>
        <v>3</v>
      </c>
      <c r="O81" s="13">
        <f t="shared" si="21"/>
        <v>1</v>
      </c>
      <c r="Q81" s="5">
        <f t="shared" si="22"/>
        <v>2919.4115923666095</v>
      </c>
      <c r="R81" s="13">
        <f t="shared" si="23"/>
        <v>1</v>
      </c>
      <c r="T81" s="5">
        <f t="shared" si="24"/>
        <v>230.35448476080381</v>
      </c>
      <c r="U81" s="13">
        <f t="shared" si="25"/>
        <v>0.9989665558082067</v>
      </c>
      <c r="W81" s="5">
        <f t="shared" si="26"/>
        <v>223.82406768770889</v>
      </c>
      <c r="X81" s="13">
        <f t="shared" si="27"/>
        <v>1.0012305392461474</v>
      </c>
    </row>
    <row r="82" spans="1:25" x14ac:dyDescent="0.2">
      <c r="A82" s="116">
        <v>45231</v>
      </c>
      <c r="B82" s="5">
        <f t="shared" si="28"/>
        <v>40443.833333333307</v>
      </c>
      <c r="C82" s="13">
        <f t="shared" si="13"/>
        <v>1.0019612862734735</v>
      </c>
      <c r="E82" s="5">
        <f t="shared" si="14"/>
        <v>3020.2511374476858</v>
      </c>
      <c r="F82" s="13">
        <f t="shared" si="15"/>
        <v>1.0014985798338631</v>
      </c>
      <c r="H82" s="130">
        <f t="shared" si="16"/>
        <v>348.13520738784104</v>
      </c>
      <c r="I82" s="13">
        <f t="shared" si="17"/>
        <v>1.0027267874795334</v>
      </c>
      <c r="K82" s="5">
        <f t="shared" si="18"/>
        <v>12</v>
      </c>
      <c r="L82" s="13">
        <f t="shared" si="19"/>
        <v>1</v>
      </c>
      <c r="N82" s="5">
        <f t="shared" si="20"/>
        <v>3</v>
      </c>
      <c r="O82" s="13">
        <f t="shared" si="21"/>
        <v>1</v>
      </c>
      <c r="Q82" s="5">
        <f t="shared" si="22"/>
        <v>2919.4115923666095</v>
      </c>
      <c r="R82" s="13">
        <f t="shared" si="23"/>
        <v>1</v>
      </c>
      <c r="T82" s="5">
        <f t="shared" si="24"/>
        <v>230.11642625647423</v>
      </c>
      <c r="U82" s="13">
        <f t="shared" si="25"/>
        <v>0.9989665558082067</v>
      </c>
      <c r="W82" s="5">
        <f t="shared" si="26"/>
        <v>224.09949198723095</v>
      </c>
      <c r="X82" s="13">
        <f t="shared" si="27"/>
        <v>1.0012305392461474</v>
      </c>
    </row>
    <row r="83" spans="1:25" x14ac:dyDescent="0.2">
      <c r="A83" s="116">
        <v>45261</v>
      </c>
      <c r="B83" s="5">
        <f t="shared" si="28"/>
        <v>40522.999999999971</v>
      </c>
      <c r="C83" s="13">
        <f t="shared" si="13"/>
        <v>1.001957447159229</v>
      </c>
      <c r="D83" s="95"/>
      <c r="E83" s="5">
        <f t="shared" si="14"/>
        <v>3024.777224895467</v>
      </c>
      <c r="F83" s="13">
        <f t="shared" si="15"/>
        <v>1.0014985798338631</v>
      </c>
      <c r="G83" s="14"/>
      <c r="H83" s="130">
        <f t="shared" si="16"/>
        <v>349.08449811253098</v>
      </c>
      <c r="I83" s="13">
        <f t="shared" si="17"/>
        <v>1.0027267874795334</v>
      </c>
      <c r="J83" s="14"/>
      <c r="K83" s="5">
        <f t="shared" si="18"/>
        <v>12</v>
      </c>
      <c r="L83" s="13">
        <f t="shared" si="19"/>
        <v>1</v>
      </c>
      <c r="M83" s="14"/>
      <c r="N83" s="5">
        <f t="shared" si="20"/>
        <v>3</v>
      </c>
      <c r="O83" s="13">
        <f t="shared" si="21"/>
        <v>1</v>
      </c>
      <c r="P83" s="14"/>
      <c r="Q83" s="5">
        <f t="shared" si="22"/>
        <v>2919.4115923666095</v>
      </c>
      <c r="R83" s="13">
        <f t="shared" si="23"/>
        <v>1</v>
      </c>
      <c r="S83" s="14"/>
      <c r="T83" s="5">
        <f t="shared" si="24"/>
        <v>229.87861377232323</v>
      </c>
      <c r="U83" s="13">
        <f t="shared" si="25"/>
        <v>0.9989665558082067</v>
      </c>
      <c r="V83" s="14"/>
      <c r="W83" s="5">
        <f t="shared" si="26"/>
        <v>224.37525520716292</v>
      </c>
      <c r="X83" s="13">
        <f t="shared" si="27"/>
        <v>1.0012305392461474</v>
      </c>
      <c r="Y83" s="14"/>
    </row>
    <row r="84" spans="1:25" x14ac:dyDescent="0.2">
      <c r="A84" s="116"/>
      <c r="C84" s="13"/>
      <c r="D84" s="95"/>
      <c r="F84" s="13"/>
      <c r="G84" s="14"/>
      <c r="I84" s="13"/>
      <c r="J84" s="14"/>
      <c r="L84" s="13"/>
      <c r="M84" s="14"/>
      <c r="O84" s="13"/>
      <c r="P84" s="14"/>
      <c r="R84" s="13"/>
      <c r="S84" s="14"/>
      <c r="U84" s="13"/>
      <c r="V84" s="14"/>
      <c r="X84" s="13"/>
      <c r="Y84" s="14"/>
    </row>
    <row r="85" spans="1:25" x14ac:dyDescent="0.2">
      <c r="A85" s="116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</row>
    <row r="86" spans="1:25" x14ac:dyDescent="0.2">
      <c r="A86" s="3"/>
      <c r="B86" s="101"/>
      <c r="C86" s="101"/>
      <c r="D86" s="101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</row>
    <row r="87" spans="1:25" x14ac:dyDescent="0.2">
      <c r="A87" s="3"/>
      <c r="B87" s="101"/>
      <c r="C87" s="101"/>
      <c r="D87" s="101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</row>
    <row r="88" spans="1:25" x14ac:dyDescent="0.2">
      <c r="A88" s="3"/>
      <c r="B88" s="101"/>
      <c r="C88" s="101"/>
      <c r="D88" s="101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</row>
    <row r="89" spans="1:25" x14ac:dyDescent="0.2">
      <c r="B89" s="101"/>
      <c r="C89" s="101"/>
      <c r="D89" s="101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</row>
    <row r="90" spans="1:25" x14ac:dyDescent="0.2">
      <c r="B90" s="101"/>
      <c r="C90" s="101"/>
      <c r="D90" s="101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</row>
    <row r="91" spans="1:25" x14ac:dyDescent="0.2">
      <c r="B91" s="101"/>
      <c r="C91" s="101"/>
      <c r="D91" s="101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</row>
    <row r="92" spans="1:25" x14ac:dyDescent="0.2">
      <c r="B92" s="101"/>
      <c r="C92" s="101"/>
      <c r="D92" s="101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</row>
    <row r="93" spans="1:25" x14ac:dyDescent="0.2">
      <c r="B93" s="101"/>
      <c r="C93" s="101"/>
      <c r="D93" s="101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</row>
    <row r="94" spans="1:25" x14ac:dyDescent="0.2">
      <c r="B94" s="101"/>
      <c r="C94" s="101"/>
      <c r="D94" s="101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</row>
    <row r="95" spans="1:25" x14ac:dyDescent="0.2">
      <c r="B95" s="101"/>
      <c r="C95" s="101"/>
      <c r="D95" s="101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</row>
    <row r="96" spans="1:25" x14ac:dyDescent="0.2">
      <c r="B96" s="101"/>
      <c r="C96" s="101"/>
      <c r="D96" s="101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</row>
    <row r="97" spans="2:25" x14ac:dyDescent="0.2">
      <c r="B97" s="101"/>
      <c r="C97" s="101"/>
      <c r="D97" s="101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</row>
    <row r="98" spans="2:25" x14ac:dyDescent="0.2">
      <c r="B98" s="101"/>
      <c r="C98" s="101"/>
      <c r="D98" s="101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</row>
    <row r="99" spans="2:25" x14ac:dyDescent="0.2">
      <c r="B99" s="101"/>
      <c r="C99" s="101"/>
      <c r="D99" s="101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</row>
    <row r="100" spans="2:25" x14ac:dyDescent="0.2">
      <c r="B100" s="101"/>
      <c r="C100" s="101"/>
      <c r="D100" s="101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</row>
    <row r="101" spans="2:25" x14ac:dyDescent="0.2">
      <c r="B101" s="101"/>
      <c r="C101" s="101"/>
      <c r="D101" s="101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</row>
    <row r="102" spans="2:25" x14ac:dyDescent="0.2">
      <c r="B102" s="101"/>
      <c r="C102" s="101"/>
      <c r="D102" s="101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</row>
    <row r="103" spans="2:25" x14ac:dyDescent="0.2">
      <c r="B103" s="101"/>
      <c r="C103" s="101"/>
      <c r="D103" s="101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</row>
    <row r="104" spans="2:25" x14ac:dyDescent="0.2">
      <c r="B104" s="101"/>
      <c r="C104" s="101"/>
      <c r="D104" s="101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</row>
    <row r="105" spans="2:25" x14ac:dyDescent="0.2">
      <c r="B105" s="101"/>
      <c r="C105" s="101"/>
      <c r="D105" s="101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</row>
    <row r="106" spans="2:25" x14ac:dyDescent="0.2">
      <c r="B106" s="101"/>
      <c r="C106" s="101"/>
      <c r="D106" s="101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</row>
    <row r="107" spans="2:25" x14ac:dyDescent="0.2">
      <c r="B107" s="101"/>
      <c r="C107" s="101"/>
      <c r="D107" s="101"/>
      <c r="E107" s="14"/>
      <c r="F107" s="14"/>
      <c r="G107" s="14"/>
      <c r="T107" s="14"/>
      <c r="U107" s="14"/>
      <c r="V107" s="14"/>
      <c r="W107" s="14"/>
      <c r="X107" s="14"/>
      <c r="Y107" s="14"/>
    </row>
    <row r="108" spans="2:25" x14ac:dyDescent="0.2">
      <c r="B108" s="101"/>
      <c r="C108" s="101"/>
      <c r="D108" s="101"/>
    </row>
    <row r="109" spans="2:25" x14ac:dyDescent="0.2">
      <c r="B109" s="101"/>
      <c r="C109" s="101"/>
      <c r="D109" s="101"/>
    </row>
    <row r="110" spans="2:25" x14ac:dyDescent="0.2">
      <c r="B110" s="101"/>
      <c r="C110" s="101"/>
      <c r="D110" s="101"/>
    </row>
    <row r="111" spans="2:25" x14ac:dyDescent="0.2">
      <c r="B111" s="101"/>
      <c r="C111" s="101"/>
      <c r="D111" s="101"/>
    </row>
    <row r="112" spans="2:25" x14ac:dyDescent="0.2">
      <c r="B112" s="101"/>
      <c r="C112" s="101"/>
      <c r="D112" s="101"/>
    </row>
    <row r="113" spans="2:25" x14ac:dyDescent="0.2"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</row>
    <row r="114" spans="2:25" x14ac:dyDescent="0.2"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</row>
    <row r="115" spans="2:25" x14ac:dyDescent="0.2">
      <c r="B115" s="15"/>
      <c r="C115" s="15"/>
      <c r="D115" s="15"/>
      <c r="E115" s="15"/>
      <c r="F115" s="15"/>
      <c r="G115" s="15"/>
      <c r="T115" s="15"/>
      <c r="U115" s="15"/>
      <c r="V115" s="15"/>
      <c r="W115" s="15"/>
      <c r="X115" s="15"/>
      <c r="Y115" s="15"/>
    </row>
    <row r="146" spans="3:5" x14ac:dyDescent="0.2">
      <c r="C146" s="130"/>
      <c r="E146" s="130"/>
    </row>
  </sheetData>
  <mergeCells count="17">
    <mergeCell ref="B29:C29"/>
    <mergeCell ref="K29:L29"/>
    <mergeCell ref="N29:O29"/>
    <mergeCell ref="E30:L30"/>
    <mergeCell ref="T2:U2"/>
    <mergeCell ref="B2:C2"/>
    <mergeCell ref="W2:X2"/>
    <mergeCell ref="E29:F29"/>
    <mergeCell ref="H29:I29"/>
    <mergeCell ref="Q29:R29"/>
    <mergeCell ref="T29:U29"/>
    <mergeCell ref="W29:X29"/>
    <mergeCell ref="E2:F2"/>
    <mergeCell ref="H2:I2"/>
    <mergeCell ref="K2:L2"/>
    <mergeCell ref="N2:O2"/>
    <mergeCell ref="Q2:R2"/>
  </mergeCells>
  <phoneticPr fontId="0" type="noConversion"/>
  <pageMargins left="0.38" right="0.75" top="0.73" bottom="0.74" header="0.5" footer="0.5"/>
  <pageSetup scale="48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60"/>
  <sheetViews>
    <sheetView zoomScaleNormal="100" workbookViewId="0">
      <pane xSplit="1" ySplit="1" topLeftCell="B2" activePane="bottomRight" state="frozen"/>
      <selection activeCell="V159" sqref="V159"/>
      <selection pane="topRight" activeCell="V159" sqref="V159"/>
      <selection pane="bottomLeft" activeCell="V159" sqref="V159"/>
      <selection pane="bottomRight" activeCell="E68" sqref="E68"/>
    </sheetView>
  </sheetViews>
  <sheetFormatPr defaultRowHeight="12.75" x14ac:dyDescent="0.2"/>
  <cols>
    <col min="1" max="1" width="11" customWidth="1"/>
    <col min="2" max="2" width="14.140625" style="5" bestFit="1" customWidth="1"/>
    <col min="3" max="3" width="17.140625" style="5" customWidth="1"/>
    <col min="4" max="4" width="18" style="5" customWidth="1"/>
    <col min="5" max="5" width="14.140625" style="5" customWidth="1"/>
    <col min="6" max="6" width="17.7109375" style="5" customWidth="1"/>
    <col min="7" max="8" width="12.7109375" style="5" bestFit="1" customWidth="1"/>
    <col min="9" max="9" width="11.7109375" style="5" bestFit="1" customWidth="1"/>
    <col min="10" max="10" width="10.7109375" style="5" bestFit="1" customWidth="1"/>
    <col min="11" max="12" width="9.140625" style="5"/>
  </cols>
  <sheetData>
    <row r="1" spans="1:7" ht="42" customHeight="1" x14ac:dyDescent="0.2">
      <c r="B1" s="44" t="s">
        <v>118</v>
      </c>
      <c r="C1" s="44" t="s">
        <v>119</v>
      </c>
      <c r="D1" s="44" t="s">
        <v>120</v>
      </c>
      <c r="E1" s="44" t="str">
        <f>'Rate Class Customer Model'!Q2</f>
        <v xml:space="preserve">Streetlights </v>
      </c>
      <c r="F1" s="44" t="str">
        <f>'Rate Class Customer Model'!T2</f>
        <v>Sentinel Lights</v>
      </c>
      <c r="G1" s="5" t="s">
        <v>13</v>
      </c>
    </row>
    <row r="2" spans="1:7" x14ac:dyDescent="0.2">
      <c r="A2" s="18">
        <v>2011</v>
      </c>
      <c r="B2" s="47">
        <v>503231</v>
      </c>
      <c r="C2" s="47">
        <v>260972</v>
      </c>
      <c r="D2" s="47">
        <v>175385</v>
      </c>
      <c r="E2" s="47">
        <v>17894</v>
      </c>
      <c r="F2" s="47">
        <v>439.11666666666667</v>
      </c>
      <c r="G2" s="5">
        <f t="shared" ref="G2:G14" si="0">SUM(B2:F2)</f>
        <v>957921.1166666667</v>
      </c>
    </row>
    <row r="3" spans="1:7" x14ac:dyDescent="0.2">
      <c r="A3" s="18">
        <v>2012</v>
      </c>
      <c r="B3" s="47">
        <v>520812.31</v>
      </c>
      <c r="C3" s="47">
        <v>287183</v>
      </c>
      <c r="D3" s="47">
        <v>179954</v>
      </c>
      <c r="E3" s="47">
        <v>19000</v>
      </c>
      <c r="F3" s="47">
        <v>412.7016666666666</v>
      </c>
      <c r="G3" s="5">
        <f t="shared" si="0"/>
        <v>1007362.0116666667</v>
      </c>
    </row>
    <row r="4" spans="1:7" x14ac:dyDescent="0.2">
      <c r="A4" s="18">
        <v>2013</v>
      </c>
      <c r="B4" s="47">
        <v>541769.57999999996</v>
      </c>
      <c r="C4" s="47">
        <v>232734.3</v>
      </c>
      <c r="D4" s="47">
        <v>246682.37</v>
      </c>
      <c r="E4" s="47">
        <v>19747.59</v>
      </c>
      <c r="F4" s="47">
        <v>425.3437222222222</v>
      </c>
      <c r="G4" s="5">
        <f t="shared" si="0"/>
        <v>1041359.1837222221</v>
      </c>
    </row>
    <row r="5" spans="1:7" x14ac:dyDescent="0.2">
      <c r="A5" s="18">
        <v>2014</v>
      </c>
      <c r="B5" s="47">
        <v>537015.85</v>
      </c>
      <c r="C5" s="47">
        <v>242503.52999999997</v>
      </c>
      <c r="D5" s="47">
        <v>253601.38999999998</v>
      </c>
      <c r="E5" s="47">
        <v>20172.63</v>
      </c>
      <c r="F5" s="47">
        <v>419.45277777777801</v>
      </c>
      <c r="G5" s="5">
        <f t="shared" si="0"/>
        <v>1053712.8527777777</v>
      </c>
    </row>
    <row r="6" spans="1:7" x14ac:dyDescent="0.2">
      <c r="A6" s="18">
        <v>2015</v>
      </c>
      <c r="B6" s="47">
        <v>553187.45000000007</v>
      </c>
      <c r="C6" s="47">
        <v>254931.54</v>
      </c>
      <c r="D6" s="47">
        <v>253385.80000000002</v>
      </c>
      <c r="E6" s="47">
        <v>21372.33</v>
      </c>
      <c r="F6" s="47">
        <v>416.29602359208536</v>
      </c>
      <c r="G6" s="5">
        <f t="shared" si="0"/>
        <v>1083293.4160235922</v>
      </c>
    </row>
    <row r="7" spans="1:7" x14ac:dyDescent="0.2">
      <c r="A7" s="18">
        <v>2016</v>
      </c>
      <c r="B7" s="47">
        <v>559203.87</v>
      </c>
      <c r="C7" s="47">
        <v>271131.24</v>
      </c>
      <c r="D7" s="47">
        <v>259409.75999999998</v>
      </c>
      <c r="E7" s="47">
        <v>21692.510000000002</v>
      </c>
      <c r="F7" s="47">
        <v>410.46816971080676</v>
      </c>
      <c r="G7" s="5">
        <f t="shared" si="0"/>
        <v>1111847.8481697107</v>
      </c>
    </row>
    <row r="8" spans="1:7" x14ac:dyDescent="0.2">
      <c r="A8" s="18">
        <v>2017</v>
      </c>
      <c r="B8" s="47">
        <v>577937.55000000005</v>
      </c>
      <c r="C8" s="47">
        <v>279302.57</v>
      </c>
      <c r="D8" s="47">
        <v>263694.88</v>
      </c>
      <c r="E8" s="47">
        <v>21900.93</v>
      </c>
      <c r="F8" s="47">
        <v>404.64031582952799</v>
      </c>
      <c r="G8" s="5">
        <f t="shared" si="0"/>
        <v>1143240.5703158295</v>
      </c>
    </row>
    <row r="9" spans="1:7" x14ac:dyDescent="0.2">
      <c r="A9" s="18">
        <v>2018</v>
      </c>
      <c r="B9" s="47">
        <v>598252.29</v>
      </c>
      <c r="C9" s="47">
        <v>289804.19999999995</v>
      </c>
      <c r="D9" s="47">
        <v>268937.04000000004</v>
      </c>
      <c r="E9" s="47">
        <v>21867.030000000002</v>
      </c>
      <c r="F9" s="47">
        <v>398.81246194824945</v>
      </c>
      <c r="G9" s="5">
        <f t="shared" si="0"/>
        <v>1179259.3724619483</v>
      </c>
    </row>
    <row r="10" spans="1:7" x14ac:dyDescent="0.2">
      <c r="A10" s="18">
        <v>2019</v>
      </c>
      <c r="B10" s="47">
        <v>592126.44000000006</v>
      </c>
      <c r="C10" s="47">
        <v>295909.30999999994</v>
      </c>
      <c r="D10" s="47">
        <v>282021.99000000005</v>
      </c>
      <c r="E10" s="47">
        <v>18722.650000000001</v>
      </c>
      <c r="F10" s="47">
        <v>392.98460806697074</v>
      </c>
      <c r="G10" s="5">
        <f t="shared" si="0"/>
        <v>1189173.3746080669</v>
      </c>
    </row>
    <row r="11" spans="1:7" x14ac:dyDescent="0.2">
      <c r="A11" s="18">
        <v>2020</v>
      </c>
      <c r="B11" s="47">
        <v>567108.6</v>
      </c>
      <c r="C11" s="47">
        <v>278402.25</v>
      </c>
      <c r="D11" s="47">
        <v>268250.83</v>
      </c>
      <c r="E11" s="47">
        <v>15143.04</v>
      </c>
      <c r="F11" s="47">
        <v>387.15675418569214</v>
      </c>
      <c r="G11" s="5">
        <f t="shared" si="0"/>
        <v>1129291.8767541857</v>
      </c>
    </row>
    <row r="12" spans="1:7" x14ac:dyDescent="0.2">
      <c r="A12" s="18">
        <v>2021</v>
      </c>
      <c r="B12" s="47">
        <v>580241.52</v>
      </c>
      <c r="C12" s="47">
        <v>266215.46999999997</v>
      </c>
      <c r="D12" s="47">
        <v>279213.42</v>
      </c>
      <c r="E12" s="47">
        <v>14018.58</v>
      </c>
      <c r="F12" s="47">
        <v>384</v>
      </c>
      <c r="G12" s="5">
        <f t="shared" si="0"/>
        <v>1140072.99</v>
      </c>
    </row>
    <row r="13" spans="1:7" x14ac:dyDescent="0.2">
      <c r="A13" s="3">
        <v>2022</v>
      </c>
      <c r="B13" s="61">
        <f>'Rate Class Energy Model'!E17*'Rate Class Load Model'!B35</f>
        <v>592144.3987225719</v>
      </c>
      <c r="C13" s="61">
        <f>'Rate Class Energy Model'!F17*'Rate Class Load Model'!C35</f>
        <v>236618.98440586042</v>
      </c>
      <c r="D13" s="61">
        <f>'Rate Class Energy Model'!G17*'Rate Class Load Model'!D35</f>
        <v>272628.61214873416</v>
      </c>
      <c r="E13" s="61">
        <f>+'Rate Class Energy Model'!H17*'Rate Class Load Model'!E35</f>
        <v>14107.530688567846</v>
      </c>
      <c r="F13" s="61">
        <f>+'Rate Class Energy Model'!I17*'Rate Class Load Model'!F35</f>
        <v>382.56216070109389</v>
      </c>
      <c r="G13" s="5">
        <f t="shared" si="0"/>
        <v>1115882.0881264352</v>
      </c>
    </row>
    <row r="14" spans="1:7" x14ac:dyDescent="0.2">
      <c r="A14" s="3">
        <v>2023</v>
      </c>
      <c r="B14" s="61">
        <f>'Rate Class Energy Model'!E18*'Rate Class Load Model'!B35</f>
        <v>617472.90798112436</v>
      </c>
      <c r="C14" s="61">
        <f>'Rate Class Energy Model'!F18*'Rate Class Load Model'!C35</f>
        <v>236618.98440586042</v>
      </c>
      <c r="D14" s="61">
        <f>'Rate Class Energy Model'!G18*'Rate Class Load Model'!D35</f>
        <v>272628.61214873416</v>
      </c>
      <c r="E14" s="61">
        <f>+'Rate Class Energy Model'!H18*'Rate Class Load Model'!E35</f>
        <v>14179.063705514967</v>
      </c>
      <c r="F14" s="61">
        <f>+'Rate Class Energy Model'!I18*'Rate Class Load Model'!F35</f>
        <v>377.84475452316417</v>
      </c>
      <c r="G14" s="5">
        <f t="shared" si="0"/>
        <v>1141277.4129957568</v>
      </c>
    </row>
    <row r="15" spans="1:7" x14ac:dyDescent="0.2">
      <c r="A15" s="3"/>
      <c r="B15" s="57"/>
      <c r="C15" s="57"/>
      <c r="D15" s="57"/>
      <c r="E15" s="57"/>
      <c r="F15" s="57"/>
    </row>
    <row r="16" spans="1:7" x14ac:dyDescent="0.2">
      <c r="A16" s="27" t="s">
        <v>121</v>
      </c>
    </row>
    <row r="17" spans="1:7" x14ac:dyDescent="0.2">
      <c r="A17" s="3">
        <v>2022</v>
      </c>
      <c r="B17" s="61">
        <f>'Rate Class Energy Model'!E22*'Rate Class Load Model'!B35</f>
        <v>569990.22628810117</v>
      </c>
      <c r="C17" s="61">
        <f>'Rate Class Energy Model'!F22*'Rate Class Load Model'!C35</f>
        <v>225593.88847941163</v>
      </c>
      <c r="D17" s="61">
        <f>'Rate Class Energy Model'!G22*'Rate Class Load Model'!D35</f>
        <v>260034.12639671177</v>
      </c>
      <c r="E17" s="61">
        <f>'Rate Class Energy Model'!H22*'Rate Class Load Model'!E35</f>
        <v>14107.530688567846</v>
      </c>
      <c r="F17" s="61">
        <f>'Rate Class Energy Model'!I22*'Rate Class Load Model'!F35</f>
        <v>382.56216070109389</v>
      </c>
      <c r="G17" s="5">
        <f>SUM(B17:F17)</f>
        <v>1070108.3340134933</v>
      </c>
    </row>
    <row r="18" spans="1:7" x14ac:dyDescent="0.2">
      <c r="A18" s="27">
        <v>2023</v>
      </c>
      <c r="B18" s="61">
        <f>'Rate Class Energy Model'!E23*'Rate Class Load Model'!B35</f>
        <v>595318.73554665362</v>
      </c>
      <c r="C18" s="61">
        <f>'Rate Class Energy Model'!F23*'Rate Class Load Model'!C35</f>
        <v>225593.88847941163</v>
      </c>
      <c r="D18" s="61">
        <f>'Rate Class Energy Model'!G23*'Rate Class Load Model'!D35</f>
        <v>260034.12639671177</v>
      </c>
      <c r="E18" s="61">
        <f>'Rate Class Energy Model'!H23*'Rate Class Load Model'!E35</f>
        <v>14179.063705514967</v>
      </c>
      <c r="F18" s="61">
        <f>'Rate Class Energy Model'!I23*'Rate Class Load Model'!F35</f>
        <v>377.84475452316417</v>
      </c>
      <c r="G18" s="5">
        <f>SUM(B18:F18)</f>
        <v>1095503.6588828149</v>
      </c>
    </row>
    <row r="19" spans="1:7" x14ac:dyDescent="0.2">
      <c r="A19" s="11"/>
      <c r="D19" s="4"/>
      <c r="E19" s="4"/>
      <c r="F19" s="4"/>
    </row>
    <row r="20" spans="1:7" x14ac:dyDescent="0.2">
      <c r="A20" s="11" t="s">
        <v>122</v>
      </c>
      <c r="B20" s="4"/>
      <c r="C20" s="4"/>
      <c r="D20" s="4"/>
      <c r="E20" s="4"/>
      <c r="F20" s="4"/>
    </row>
    <row r="21" spans="1:7" x14ac:dyDescent="0.2">
      <c r="A21" s="3">
        <v>2011</v>
      </c>
      <c r="B21" s="16">
        <f>+B2/'Rate Class Energy Model'!E6</f>
        <v>2.6103525778080933E-3</v>
      </c>
      <c r="C21" s="16">
        <f>+C2/'Rate Class Energy Model'!F6</f>
        <v>2.1495544175129827E-3</v>
      </c>
      <c r="D21" s="16">
        <f>+D2/'Rate Class Energy Model'!G6</f>
        <v>2.1831287867111618E-3</v>
      </c>
      <c r="E21" s="16">
        <f>+E2/'Rate Class Energy Model'!H6</f>
        <v>2.7878718382878536E-3</v>
      </c>
      <c r="F21" s="16">
        <f>+F2/'Rate Class Energy Model'!I6</f>
        <v>2.7777777777777779E-3</v>
      </c>
    </row>
    <row r="22" spans="1:7" x14ac:dyDescent="0.2">
      <c r="A22" s="3">
        <v>2012</v>
      </c>
      <c r="B22" s="16">
        <f>+B3/'Rate Class Energy Model'!E7</f>
        <v>2.6817439904757239E-3</v>
      </c>
      <c r="C22" s="16">
        <f>+C3/'Rate Class Energy Model'!F7</f>
        <v>2.2265725830308176E-3</v>
      </c>
      <c r="D22" s="16">
        <f>+D3/'Rate Class Energy Model'!G7</f>
        <v>2.0790800944596537E-3</v>
      </c>
      <c r="E22" s="16">
        <f>+E3/'Rate Class Energy Model'!H7</f>
        <v>2.7798337981264211E-3</v>
      </c>
      <c r="F22" s="16">
        <f>+F3/'Rate Class Energy Model'!I7</f>
        <v>2.6488515485267811E-3</v>
      </c>
    </row>
    <row r="23" spans="1:7" x14ac:dyDescent="0.2">
      <c r="A23" s="3">
        <v>2013</v>
      </c>
      <c r="B23" s="16">
        <f>+B4/'Rate Class Energy Model'!E8</f>
        <v>2.6664564308733901E-3</v>
      </c>
      <c r="C23" s="16">
        <f>+C4/'Rate Class Energy Model'!F8</f>
        <v>2.3122517819095557E-3</v>
      </c>
      <c r="D23" s="16">
        <f>+D4/'Rate Class Energy Model'!G8</f>
        <v>1.9282392068658341E-3</v>
      </c>
      <c r="E23" s="16">
        <f>+E4/'Rate Class Energy Model'!H8</f>
        <v>2.7900647957117366E-3</v>
      </c>
      <c r="F23" s="16">
        <f>+F4/'Rate Class Energy Model'!I8</f>
        <v>2.7777777777777779E-3</v>
      </c>
    </row>
    <row r="24" spans="1:7" x14ac:dyDescent="0.2">
      <c r="A24" s="3">
        <v>2014</v>
      </c>
      <c r="B24" s="16">
        <f>+B5/'Rate Class Energy Model'!E9</f>
        <v>2.6205524728064667E-3</v>
      </c>
      <c r="C24" s="16">
        <f>+C5/'Rate Class Energy Model'!F9</f>
        <v>2.196367346208991E-3</v>
      </c>
      <c r="D24" s="16">
        <f>+D5/'Rate Class Energy Model'!G9</f>
        <v>1.9006623753635842E-3</v>
      </c>
      <c r="E24" s="16">
        <f>+E5/'Rate Class Energy Model'!H9</f>
        <v>2.7863001425492218E-3</v>
      </c>
      <c r="F24" s="16">
        <f>+F5/'Rate Class Energy Model'!I9</f>
        <v>2.777783848310616E-3</v>
      </c>
    </row>
    <row r="25" spans="1:7" x14ac:dyDescent="0.2">
      <c r="A25" s="3">
        <v>2015</v>
      </c>
      <c r="B25" s="16">
        <f>+B6/'Rate Class Energy Model'!E10</f>
        <v>2.6925708295444813E-3</v>
      </c>
      <c r="C25" s="16">
        <f>+C6/'Rate Class Energy Model'!F10</f>
        <v>2.2565373900444064E-3</v>
      </c>
      <c r="D25" s="16">
        <f>+D6/'Rate Class Energy Model'!G10</f>
        <v>1.8548617900017409E-3</v>
      </c>
      <c r="E25" s="16">
        <f>+E6/'Rate Class Energy Model'!H10</f>
        <v>2.8091793584711518E-3</v>
      </c>
      <c r="F25" s="16">
        <f>+F6/'Rate Class Energy Model'!I10</f>
        <v>2.861313185553856E-3</v>
      </c>
    </row>
    <row r="26" spans="1:7" x14ac:dyDescent="0.2">
      <c r="A26" s="3">
        <v>2016</v>
      </c>
      <c r="B26" s="16">
        <f>+B7/'Rate Class Energy Model'!E11</f>
        <v>2.7316135088635619E-3</v>
      </c>
      <c r="C26" s="16">
        <f>+C7/'Rate Class Energy Model'!F11</f>
        <v>2.2600063825422728E-3</v>
      </c>
      <c r="D26" s="16">
        <f>+D7/'Rate Class Energy Model'!G11</f>
        <v>1.8527121232061396E-3</v>
      </c>
      <c r="E26" s="16">
        <f>+E7/'Rate Class Energy Model'!H11</f>
        <v>2.7839501708478141E-3</v>
      </c>
      <c r="F26" s="16">
        <f>+F7/'Rate Class Energy Model'!I11</f>
        <v>2.8535535600534346E-3</v>
      </c>
    </row>
    <row r="27" spans="1:7" x14ac:dyDescent="0.2">
      <c r="A27" s="3">
        <v>2017</v>
      </c>
      <c r="B27" s="16">
        <f>+B8/'Rate Class Energy Model'!E12</f>
        <v>2.7052696281793008E-3</v>
      </c>
      <c r="C27" s="16">
        <f>+C8/'Rate Class Energy Model'!F12</f>
        <v>2.2908876044535633E-3</v>
      </c>
      <c r="D27" s="16">
        <f>+D8/'Rate Class Energy Model'!G12</f>
        <v>1.9169148956665089E-3</v>
      </c>
      <c r="E27" s="16">
        <f>+E8/'Rate Class Energy Model'!H12</f>
        <v>2.8227305510365522E-3</v>
      </c>
      <c r="F27" s="16">
        <f>+F8/'Rate Class Energy Model'!I12</f>
        <v>2.845614218256741E-3</v>
      </c>
    </row>
    <row r="28" spans="1:7" x14ac:dyDescent="0.2">
      <c r="A28" s="3">
        <v>2018</v>
      </c>
      <c r="B28" s="16">
        <f>+B9/'Rate Class Energy Model'!E13</f>
        <v>2.6971774951791367E-3</v>
      </c>
      <c r="C28" s="16">
        <f>+C9/'Rate Class Energy Model'!F13</f>
        <v>2.2221998338221656E-3</v>
      </c>
      <c r="D28" s="16">
        <f>+D9/'Rate Class Energy Model'!G13</f>
        <v>1.941705700281352E-3</v>
      </c>
      <c r="E28" s="16">
        <f>+E9/'Rate Class Energy Model'!H13</f>
        <v>2.7901743764745844E-3</v>
      </c>
      <c r="F28" s="16">
        <f>+F9/'Rate Class Energy Model'!I13</f>
        <v>2.8374888435548783E-3</v>
      </c>
    </row>
    <row r="29" spans="1:7" x14ac:dyDescent="0.2">
      <c r="A29" s="3">
        <v>2019</v>
      </c>
      <c r="B29" s="16">
        <f>+B10/'Rate Class Energy Model'!E14</f>
        <v>2.6895910779380951E-3</v>
      </c>
      <c r="C29" s="16">
        <f>+C10/'Rate Class Energy Model'!F14</f>
        <v>2.2013224093965994E-3</v>
      </c>
      <c r="D29" s="16">
        <f>+D10/'Rate Class Energy Model'!G14</f>
        <v>1.9525925032579277E-3</v>
      </c>
      <c r="E29" s="16">
        <f>+E10/'Rate Class Energy Model'!H14</f>
        <v>2.7913619565384179E-3</v>
      </c>
      <c r="F29" s="16">
        <f>+F10/'Rate Class Energy Model'!I14</f>
        <v>2.8291708198109351E-3</v>
      </c>
    </row>
    <row r="30" spans="1:7" x14ac:dyDescent="0.2">
      <c r="A30" s="3">
        <v>2020</v>
      </c>
      <c r="B30" s="16">
        <f>+B11/'Rate Class Energy Model'!E15</f>
        <v>2.7039514246426925E-3</v>
      </c>
      <c r="C30" s="16">
        <f>+C11/'Rate Class Energy Model'!F15</f>
        <v>2.160819272550029E-3</v>
      </c>
      <c r="D30" s="16">
        <f>+D11/'Rate Class Energy Model'!G15</f>
        <v>2.0765768643328931E-3</v>
      </c>
      <c r="E30" s="16">
        <f>+E11/'Rate Class Energy Model'!H15</f>
        <v>2.7844449374749259E-3</v>
      </c>
      <c r="F30" s="16">
        <f>+F11/'Rate Class Energy Model'!I15</f>
        <v>2.8143225702704742E-3</v>
      </c>
    </row>
    <row r="31" spans="1:7" x14ac:dyDescent="0.2">
      <c r="A31" s="3">
        <v>2021</v>
      </c>
      <c r="B31" s="16">
        <f>+B12/'Rate Class Energy Model'!E16</f>
        <v>2.7087565224391762E-3</v>
      </c>
      <c r="C31" s="16">
        <f>+C12/'Rate Class Energy Model'!F16</f>
        <v>2.0106773080965893E-3</v>
      </c>
      <c r="D31" s="16">
        <f>+D12/'Rate Class Energy Model'!G16</f>
        <v>2.0272389459372406E-3</v>
      </c>
      <c r="E31" s="16">
        <f>+E12/'Rate Class Energy Model'!H16</f>
        <v>2.7871252307481256E-3</v>
      </c>
      <c r="F31" s="16">
        <f>+F12/'Rate Class Energy Model'!I16</f>
        <v>2.778211873382994E-3</v>
      </c>
    </row>
    <row r="32" spans="1:7" x14ac:dyDescent="0.2">
      <c r="A32" s="3">
        <v>2022</v>
      </c>
      <c r="B32" s="16">
        <f>B35</f>
        <v>2.6897683380942023E-3</v>
      </c>
      <c r="C32" s="16">
        <f t="shared" ref="C32:F32" si="1">C35</f>
        <v>2.1771812856637893E-3</v>
      </c>
      <c r="D32" s="16">
        <f t="shared" si="1"/>
        <v>1.9830057818951844E-3</v>
      </c>
      <c r="E32" s="16">
        <f t="shared" si="1"/>
        <v>2.7925165317978949E-3</v>
      </c>
      <c r="F32" s="16">
        <f t="shared" si="1"/>
        <v>2.802365414989327E-3</v>
      </c>
    </row>
    <row r="33" spans="1:6" x14ac:dyDescent="0.2">
      <c r="A33" s="3">
        <v>2023</v>
      </c>
      <c r="B33" s="16">
        <f>B35</f>
        <v>2.6897683380942023E-3</v>
      </c>
      <c r="C33" s="16">
        <f t="shared" ref="C33:F33" si="2">C35</f>
        <v>2.1771812856637893E-3</v>
      </c>
      <c r="D33" s="16">
        <f t="shared" si="2"/>
        <v>1.9830057818951844E-3</v>
      </c>
      <c r="E33" s="16">
        <f t="shared" si="2"/>
        <v>2.7925165317978949E-3</v>
      </c>
      <c r="F33" s="16">
        <f t="shared" si="2"/>
        <v>2.802365414989327E-3</v>
      </c>
    </row>
    <row r="34" spans="1:6" x14ac:dyDescent="0.2">
      <c r="B34" s="16"/>
      <c r="C34" s="16"/>
      <c r="D34" s="16"/>
      <c r="E34" s="16"/>
      <c r="F34" s="16"/>
    </row>
    <row r="35" spans="1:6" x14ac:dyDescent="0.2">
      <c r="A35" s="27" t="s">
        <v>71</v>
      </c>
      <c r="B35" s="16">
        <f>B37</f>
        <v>2.6897683380942023E-3</v>
      </c>
      <c r="C35" s="16">
        <f>C39</f>
        <v>2.1771812856637893E-3</v>
      </c>
      <c r="D35" s="16">
        <f>D39</f>
        <v>1.9830057818951844E-3</v>
      </c>
      <c r="E35" s="16">
        <f>E37</f>
        <v>2.7925165317978949E-3</v>
      </c>
      <c r="F35" s="16">
        <f t="shared" ref="F35" si="3">AVERAGE(F21:F30)</f>
        <v>2.802365414989327E-3</v>
      </c>
    </row>
    <row r="37" spans="1:6" x14ac:dyDescent="0.2">
      <c r="A37" s="27" t="s">
        <v>123</v>
      </c>
      <c r="B37" s="96">
        <f>AVERAGE(B22:B31)</f>
        <v>2.6897683380942023E-3</v>
      </c>
      <c r="C37" s="16">
        <f t="shared" ref="C37:E37" si="4">AVERAGE(C22:C31)</f>
        <v>2.2137641912054989E-3</v>
      </c>
      <c r="D37" s="16">
        <f t="shared" si="4"/>
        <v>1.9530584499372872E-3</v>
      </c>
      <c r="E37" s="96">
        <f t="shared" si="4"/>
        <v>2.7925165317978949E-3</v>
      </c>
      <c r="F37" s="96">
        <f>AVERAGE(F22:F31)</f>
        <v>2.8024088245498487E-3</v>
      </c>
    </row>
    <row r="38" spans="1:6" x14ac:dyDescent="0.2">
      <c r="A38" s="27" t="s">
        <v>124</v>
      </c>
      <c r="B38" s="92">
        <f>AVERAGE(B22:B29)</f>
        <v>2.6856219292325195E-3</v>
      </c>
      <c r="C38" s="92">
        <f t="shared" ref="C38:F38" si="5">AVERAGE(C22:C29)</f>
        <v>2.2457681664260465E-3</v>
      </c>
      <c r="D38" s="92">
        <f t="shared" si="5"/>
        <v>1.9283460861378426E-3</v>
      </c>
      <c r="E38" s="102">
        <f>AVERAGE(E22:E29)</f>
        <v>2.7941993937194874E-3</v>
      </c>
      <c r="F38" s="92">
        <f t="shared" si="5"/>
        <v>2.8039442252306276E-3</v>
      </c>
    </row>
    <row r="39" spans="1:6" x14ac:dyDescent="0.2">
      <c r="A39" s="27" t="s">
        <v>125</v>
      </c>
      <c r="B39" s="92">
        <f>AVERAGE(B27:B31)</f>
        <v>2.7009492296756802E-3</v>
      </c>
      <c r="C39" s="97">
        <f>AVERAGE(C27:C31)</f>
        <v>2.1771812856637893E-3</v>
      </c>
      <c r="D39" s="97">
        <f>AVERAGE(D27:D31)</f>
        <v>1.9830057818951844E-3</v>
      </c>
      <c r="E39" s="92">
        <f t="shared" ref="E39:F39" si="6">AVERAGE(E27:E31)</f>
        <v>2.7951674104545214E-3</v>
      </c>
      <c r="F39" s="92">
        <f t="shared" si="6"/>
        <v>2.8209616650552044E-3</v>
      </c>
    </row>
    <row r="59" spans="2:6" x14ac:dyDescent="0.2">
      <c r="B59" s="9"/>
      <c r="C59" s="9"/>
      <c r="D59" s="9"/>
      <c r="E59" s="9"/>
      <c r="F59" s="9"/>
    </row>
    <row r="60" spans="2:6" x14ac:dyDescent="0.2">
      <c r="B60" s="9"/>
      <c r="C60" s="9"/>
      <c r="D60" s="9"/>
      <c r="E60" s="9"/>
      <c r="F60" s="9"/>
    </row>
  </sheetData>
  <phoneticPr fontId="0" type="noConversion"/>
  <pageMargins left="0.38" right="0.75" top="0.73" bottom="0.74" header="0.5" footer="0.5"/>
  <pageSetup scale="81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A1:X64"/>
  <sheetViews>
    <sheetView tabSelected="1" zoomScale="110" zoomScaleNormal="110" workbookViewId="0">
      <pane xSplit="1" ySplit="2" topLeftCell="B3" activePane="bottomRight" state="frozen"/>
      <selection activeCell="R25" sqref="R25"/>
      <selection pane="topRight" activeCell="R25" sqref="R25"/>
      <selection pane="bottomLeft" activeCell="R25" sqref="R25"/>
      <selection pane="bottomRight" activeCell="L24" sqref="L24"/>
    </sheetView>
  </sheetViews>
  <sheetFormatPr defaultRowHeight="12.75" x14ac:dyDescent="0.2"/>
  <cols>
    <col min="1" max="1" width="32.7109375" customWidth="1"/>
    <col min="2" max="2" width="1.7109375" customWidth="1"/>
    <col min="3" max="11" width="12" style="1" bestFit="1" customWidth="1"/>
    <col min="12" max="12" width="11.7109375" style="1" customWidth="1"/>
    <col min="13" max="13" width="12.5703125" style="1" customWidth="1"/>
    <col min="14" max="14" width="12" bestFit="1" customWidth="1"/>
    <col min="15" max="15" width="11.7109375" customWidth="1"/>
    <col min="17" max="17" width="11.28515625" bestFit="1" customWidth="1"/>
    <col min="22" max="22" width="11.140625" customWidth="1"/>
  </cols>
  <sheetData>
    <row r="1" spans="1:16" ht="15.75" x14ac:dyDescent="0.25">
      <c r="A1" s="22" t="s">
        <v>34</v>
      </c>
      <c r="B1" s="22"/>
      <c r="N1" s="1"/>
    </row>
    <row r="2" spans="1:16" ht="25.5" x14ac:dyDescent="0.2">
      <c r="A2" s="11" t="s">
        <v>35</v>
      </c>
      <c r="C2" s="24" t="s">
        <v>36</v>
      </c>
      <c r="D2" s="24" t="s">
        <v>37</v>
      </c>
      <c r="E2" s="24" t="s">
        <v>38</v>
      </c>
      <c r="F2" s="24" t="s">
        <v>39</v>
      </c>
      <c r="G2" s="24" t="s">
        <v>40</v>
      </c>
      <c r="H2" s="24" t="s">
        <v>41</v>
      </c>
      <c r="I2" s="24" t="s">
        <v>42</v>
      </c>
      <c r="J2" s="24" t="s">
        <v>43</v>
      </c>
      <c r="K2" s="24" t="s">
        <v>44</v>
      </c>
      <c r="L2" s="24" t="s">
        <v>45</v>
      </c>
      <c r="M2" s="24" t="s">
        <v>46</v>
      </c>
      <c r="N2" s="24" t="s">
        <v>47</v>
      </c>
      <c r="O2" s="24" t="s">
        <v>48</v>
      </c>
    </row>
    <row r="3" spans="1:16" hidden="1" x14ac:dyDescent="0.2">
      <c r="A3" s="11" t="s">
        <v>49</v>
      </c>
      <c r="B3" s="11"/>
      <c r="C3" s="17" t="e">
        <f>+#REF!</f>
        <v>#REF!</v>
      </c>
      <c r="D3" s="5" t="e">
        <f>+#REF!</f>
        <v>#REF!</v>
      </c>
      <c r="E3" s="17" t="e">
        <f>+#REF!</f>
        <v>#REF!</v>
      </c>
      <c r="F3" s="17" t="e">
        <f>+#REF!</f>
        <v>#REF!</v>
      </c>
      <c r="G3" s="17" t="e">
        <f>+#REF!</f>
        <v>#REF!</v>
      </c>
      <c r="H3" s="17" t="e">
        <f>+#REF!</f>
        <v>#REF!</v>
      </c>
      <c r="I3" s="17" t="e">
        <f>+#REF!</f>
        <v>#REF!</v>
      </c>
      <c r="J3" s="17" t="e">
        <f>+#REF!</f>
        <v>#REF!</v>
      </c>
      <c r="K3" s="17" t="e">
        <f>+#REF!</f>
        <v>#REF!</v>
      </c>
      <c r="L3" s="20"/>
      <c r="M3" s="20"/>
      <c r="N3" s="1"/>
      <c r="O3" s="1"/>
    </row>
    <row r="4" spans="1:16" hidden="1" x14ac:dyDescent="0.2">
      <c r="A4" s="11" t="s">
        <v>50</v>
      </c>
      <c r="B4" s="11"/>
      <c r="C4" s="17" t="e">
        <f>+#REF!</f>
        <v>#REF!</v>
      </c>
      <c r="D4" s="17" t="e">
        <f>+#REF!</f>
        <v>#REF!</v>
      </c>
      <c r="E4" s="17" t="e">
        <f>+#REF!</f>
        <v>#REF!</v>
      </c>
      <c r="F4" s="17" t="e">
        <f>+#REF!</f>
        <v>#REF!</v>
      </c>
      <c r="G4" s="17" t="e">
        <f>+#REF!</f>
        <v>#REF!</v>
      </c>
      <c r="H4" s="17" t="e">
        <f>+#REF!</f>
        <v>#REF!</v>
      </c>
      <c r="I4" s="17" t="e">
        <f>+#REF!</f>
        <v>#REF!</v>
      </c>
      <c r="J4" s="17" t="e">
        <f>+#REF!</f>
        <v>#REF!</v>
      </c>
      <c r="K4" s="17" t="e">
        <f>+#REF!</f>
        <v>#REF!</v>
      </c>
      <c r="L4" s="17" t="e">
        <f>+#REF!</f>
        <v>#REF!</v>
      </c>
      <c r="M4" s="17"/>
      <c r="N4" s="17" t="e">
        <f>+#REF!</f>
        <v>#REF!</v>
      </c>
      <c r="O4" s="1"/>
    </row>
    <row r="5" spans="1:16" hidden="1" x14ac:dyDescent="0.2">
      <c r="A5" s="11" t="s">
        <v>51</v>
      </c>
      <c r="B5" s="11"/>
      <c r="C5" s="23" t="e">
        <f t="shared" ref="C5:K5" si="0">(C4-C3)/C3</f>
        <v>#REF!</v>
      </c>
      <c r="D5" s="23" t="e">
        <f t="shared" si="0"/>
        <v>#REF!</v>
      </c>
      <c r="E5" s="23" t="e">
        <f t="shared" si="0"/>
        <v>#REF!</v>
      </c>
      <c r="F5" s="23" t="e">
        <f t="shared" si="0"/>
        <v>#REF!</v>
      </c>
      <c r="G5" s="23" t="e">
        <f t="shared" si="0"/>
        <v>#REF!</v>
      </c>
      <c r="H5" s="23" t="e">
        <f t="shared" si="0"/>
        <v>#REF!</v>
      </c>
      <c r="I5" s="23" t="e">
        <f t="shared" si="0"/>
        <v>#REF!</v>
      </c>
      <c r="J5" s="23" t="e">
        <f t="shared" si="0"/>
        <v>#REF!</v>
      </c>
      <c r="K5" s="23" t="e">
        <f t="shared" si="0"/>
        <v>#REF!</v>
      </c>
      <c r="L5" s="29"/>
      <c r="M5" s="29"/>
      <c r="N5" s="26"/>
      <c r="O5" s="1"/>
    </row>
    <row r="6" spans="1:16" ht="5.0999999999999996" customHeight="1" x14ac:dyDescent="0.2">
      <c r="A6" s="11"/>
      <c r="B6" s="11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1"/>
      <c r="O6" s="1"/>
    </row>
    <row r="7" spans="1:16" x14ac:dyDescent="0.2">
      <c r="A7" s="11" t="s">
        <v>52</v>
      </c>
      <c r="B7" s="11"/>
      <c r="C7" s="5">
        <f ca="1">OFFSET('Rate Class Energy Model'!$B$6,COLUMN()-COLUMN($C7),0)</f>
        <v>754466669.81999993</v>
      </c>
      <c r="D7" s="5">
        <f ca="1">OFFSET('Rate Class Energy Model'!$B$6,COLUMN()-COLUMN($C7),0)</f>
        <v>783449113.69999993</v>
      </c>
      <c r="E7" s="5">
        <f ca="1">OFFSET('Rate Class Energy Model'!$B$6,COLUMN()-COLUMN($C7),0)</f>
        <v>814644301.5</v>
      </c>
      <c r="F7" s="5">
        <f ca="1">OFFSET('Rate Class Energy Model'!$B$6,COLUMN()-COLUMN($C7),0)</f>
        <v>836470876.05999994</v>
      </c>
      <c r="G7" s="5">
        <f ca="1">OFFSET('Rate Class Energy Model'!$B$6,COLUMN()-COLUMN($C7),0)</f>
        <v>848069009.06884122</v>
      </c>
      <c r="H7" s="5">
        <f ca="1">OFFSET('Rate Class Energy Model'!$B$6,COLUMN()-COLUMN($C7),0)</f>
        <v>873235927.80642521</v>
      </c>
      <c r="I7" s="5">
        <f ca="1">OFFSET('Rate Class Energy Model'!$B$6,COLUMN()-COLUMN($C7),0)</f>
        <v>859270211.18686926</v>
      </c>
      <c r="J7" s="5">
        <f ca="1">OFFSET('Rate Class Energy Model'!$B$6,COLUMN()-COLUMN($C7),0)</f>
        <v>909512508.6674726</v>
      </c>
      <c r="K7" s="5">
        <f ca="1">OFFSET('Rate Class Energy Model'!$B$6,COLUMN()-COLUMN($C7),0)</f>
        <v>907143690.21844316</v>
      </c>
      <c r="L7" s="5">
        <f ca="1">OFFSET('Rate Class Energy Model'!$B$6,COLUMN()-COLUMN($C7),0)</f>
        <v>907891652.55668497</v>
      </c>
      <c r="M7" s="5">
        <f ca="1">OFFSET('Rate Class Energy Model'!$B$6,COLUMN()-COLUMN($C7),0)</f>
        <v>936433540.89398074</v>
      </c>
      <c r="N7" s="5">
        <f ca="1">OFFSET('Rate Class Energy Model'!$B$6,COLUMN()-COLUMN($C7)+5,0)</f>
        <v>892957408.8078382</v>
      </c>
      <c r="O7" s="5">
        <f ca="1">OFFSET('Rate Class Energy Model'!$B$6,COLUMN()-COLUMN($C7)+5,0)</f>
        <v>904459351.41578805</v>
      </c>
      <c r="P7" s="5"/>
    </row>
    <row r="8" spans="1:16" x14ac:dyDescent="0.2">
      <c r="A8" s="11"/>
      <c r="B8" s="11"/>
      <c r="C8" s="20"/>
      <c r="D8" s="20"/>
      <c r="E8" s="20"/>
      <c r="F8" s="20"/>
      <c r="G8" s="20"/>
      <c r="H8" s="20"/>
      <c r="I8" s="20"/>
      <c r="N8" s="1"/>
      <c r="O8" s="1"/>
    </row>
    <row r="9" spans="1:16" ht="15.75" x14ac:dyDescent="0.25">
      <c r="A9" s="22" t="s">
        <v>53</v>
      </c>
      <c r="B9" s="22"/>
      <c r="N9" s="1"/>
      <c r="O9" s="1"/>
    </row>
    <row r="10" spans="1:16" x14ac:dyDescent="0.2">
      <c r="A10" s="21" t="str">
        <f>'Rate Class Energy Model'!C2</f>
        <v xml:space="preserve">Residential </v>
      </c>
      <c r="B10" s="21"/>
      <c r="N10" s="1"/>
      <c r="O10" s="1"/>
      <c r="P10" s="1"/>
    </row>
    <row r="11" spans="1:16" x14ac:dyDescent="0.2">
      <c r="A11" t="s">
        <v>54</v>
      </c>
      <c r="C11" s="5">
        <f ca="1">OFFSET('Rate Class Customer Model'!$B$15,COLUMN()-COLUMN($C$11),0)</f>
        <v>27124.416666666668</v>
      </c>
      <c r="D11" s="5">
        <f ca="1">OFFSET('Rate Class Customer Model'!$B$15,COLUMN()-COLUMN($C$11),0)</f>
        <v>28837.75</v>
      </c>
      <c r="E11" s="5">
        <f ca="1">OFFSET('Rate Class Customer Model'!$B$15,COLUMN()-COLUMN($C$11),0)</f>
        <v>30730.666666666668</v>
      </c>
      <c r="F11" s="5">
        <f ca="1">OFFSET('Rate Class Customer Model'!$B$15,COLUMN()-COLUMN($C$11),0)</f>
        <v>31706.916666666668</v>
      </c>
      <c r="G11" s="5">
        <f ca="1">OFFSET('Rate Class Customer Model'!$B$15,COLUMN()-COLUMN($C$11),0)</f>
        <v>32717.583333333332</v>
      </c>
      <c r="H11" s="5">
        <f ca="1">OFFSET('Rate Class Customer Model'!$B$15,COLUMN()-COLUMN($C$11),0)</f>
        <v>33532.916666666664</v>
      </c>
      <c r="I11" s="5">
        <f ca="1">OFFSET('Rate Class Customer Model'!$B$15,COLUMN()-COLUMN($C$11),0)</f>
        <v>34343.25</v>
      </c>
      <c r="J11" s="5">
        <f ca="1">OFFSET('Rate Class Customer Model'!$B$15,COLUMN()-COLUMN($C$11),0)</f>
        <v>35796.166666666664</v>
      </c>
      <c r="K11" s="5">
        <f ca="1">OFFSET('Rate Class Customer Model'!$B$15,COLUMN()-COLUMN($C$11),0)</f>
        <v>37001.166666666664</v>
      </c>
      <c r="L11" s="5">
        <f ca="1">OFFSET('Rate Class Customer Model'!$B$15,COLUMN()-COLUMN($C$11),0)</f>
        <v>37705.916666666664</v>
      </c>
      <c r="M11" s="5">
        <f ca="1">OFFSET('Rate Class Customer Model'!$B$15,COLUMN()-COLUMN($C$11),0)</f>
        <v>38491.25</v>
      </c>
      <c r="N11" s="5">
        <f ca="1">OFFSET('Rate Class Customer Model'!$B$15,COLUMN()-COLUMN($C$11)+14,0)</f>
        <v>39229.25</v>
      </c>
      <c r="O11" s="5">
        <f ca="1">OFFSET('Rate Class Customer Model'!$B$15,COLUMN()-COLUMN($C$11)+14,0)</f>
        <v>40087.583333333314</v>
      </c>
      <c r="P11" s="5"/>
    </row>
    <row r="12" spans="1:16" x14ac:dyDescent="0.2">
      <c r="A12" t="s">
        <v>55</v>
      </c>
      <c r="C12" s="5">
        <f ca="1">OFFSET('Rate Class Energy Model'!$C$6,COLUMN()-COLUMN($C12),0)</f>
        <v>268725506.51999998</v>
      </c>
      <c r="D12" s="5">
        <f ca="1">OFFSET('Rate Class Energy Model'!$C$6,COLUMN()-COLUMN($C12),0)</f>
        <v>281220954.64999998</v>
      </c>
      <c r="E12" s="5">
        <f ca="1">OFFSET('Rate Class Energy Model'!$C$6,COLUMN()-COLUMN($C12),0)</f>
        <v>287291133.52999997</v>
      </c>
      <c r="F12" s="5">
        <f ca="1">OFFSET('Rate Class Energy Model'!$C$6,COLUMN()-COLUMN($C12),0)</f>
        <v>290591982.63</v>
      </c>
      <c r="G12" s="5">
        <f ca="1">OFFSET('Rate Class Energy Model'!$C$6,COLUMN()-COLUMN($C12),0)</f>
        <v>295940879.87469882</v>
      </c>
      <c r="H12" s="5">
        <f ca="1">OFFSET('Rate Class Energy Model'!$C$6,COLUMN()-COLUMN($C12),0)</f>
        <v>310749015.99036139</v>
      </c>
      <c r="I12" s="5">
        <f ca="1">OFFSET('Rate Class Energy Model'!$C$6,COLUMN()-COLUMN($C12),0)</f>
        <v>294253405.64819276</v>
      </c>
      <c r="J12" s="5">
        <f ca="1">OFFSET('Rate Class Energy Model'!$C$6,COLUMN()-COLUMN($C12),0)</f>
        <v>323623192.28915668</v>
      </c>
      <c r="K12" s="5">
        <f ca="1">OFFSET('Rate Class Energy Model'!$C$6,COLUMN()-COLUMN($C12),0)</f>
        <v>316413176.16385555</v>
      </c>
      <c r="L12" s="5">
        <f ca="1">OFFSET('Rate Class Energy Model'!$C$6,COLUMN()-COLUMN($C12),0)</f>
        <v>353805930.95903623</v>
      </c>
      <c r="M12" s="5">
        <f ca="1">OFFSET('Rate Class Energy Model'!$C$6,COLUMN()-COLUMN($C12),0)</f>
        <v>360408160.45301205</v>
      </c>
      <c r="N12" s="5">
        <f ca="1">OFFSET('Rate Class Energy Model'!$C$6,COLUMN()-COLUMN($C12)+5,0)</f>
        <v>354121184.31638354</v>
      </c>
      <c r="O12" s="5">
        <f ca="1">OFFSET('Rate Class Energy Model'!$C$6,COLUMN()-COLUMN($C12)+5,0)</f>
        <v>353525757.92571801</v>
      </c>
      <c r="P12" s="5"/>
    </row>
    <row r="13" spans="1:16" ht="5.0999999999999996" customHeight="1" x14ac:dyDescent="0.2">
      <c r="N13" s="26"/>
      <c r="O13" s="1"/>
      <c r="P13" s="1"/>
    </row>
    <row r="14" spans="1:16" x14ac:dyDescent="0.2">
      <c r="A14" s="21" t="str">
        <f>'Rate Class Energy Model'!D2</f>
        <v>General Service &lt; 50 kW</v>
      </c>
      <c r="B14" s="21"/>
      <c r="N14" s="1"/>
      <c r="O14" s="1"/>
      <c r="P14" s="1"/>
    </row>
    <row r="15" spans="1:16" x14ac:dyDescent="0.2">
      <c r="A15" t="s">
        <v>54</v>
      </c>
      <c r="C15" s="5">
        <f ca="1">OFFSET('Rate Class Customer Model'!$E$15,COLUMN()-COLUMN($C$11),0)</f>
        <v>2331.25</v>
      </c>
      <c r="D15" s="5">
        <f ca="1">OFFSET('Rate Class Customer Model'!$E$15,COLUMN()-COLUMN($C$11),0)</f>
        <v>2401.6666666666665</v>
      </c>
      <c r="E15" s="5">
        <f ca="1">OFFSET('Rate Class Customer Model'!$E$15,COLUMN()-COLUMN($C$11),0)</f>
        <v>2458.1666666666665</v>
      </c>
      <c r="F15" s="5">
        <f ca="1">OFFSET('Rate Class Customer Model'!$E$15,COLUMN()-COLUMN($C$11),0)</f>
        <v>2510.0833333333335</v>
      </c>
      <c r="G15" s="5">
        <f ca="1">OFFSET('Rate Class Customer Model'!$E$15,COLUMN()-COLUMN($C$11),0)</f>
        <v>2551.8333333333335</v>
      </c>
      <c r="H15" s="5">
        <f ca="1">OFFSET('Rate Class Customer Model'!$E$15,COLUMN()-COLUMN($C$11),0)</f>
        <v>2602.9166666666665</v>
      </c>
      <c r="I15" s="5">
        <f ca="1">OFFSET('Rate Class Customer Model'!$E$15,COLUMN()-COLUMN($C$11),0)</f>
        <v>2646.3333333333335</v>
      </c>
      <c r="J15" s="5">
        <f ca="1">OFFSET('Rate Class Customer Model'!$E$15,COLUMN()-COLUMN($C$11),0)</f>
        <v>2685.9166666666665</v>
      </c>
      <c r="K15" s="5">
        <f ca="1">OFFSET('Rate Class Customer Model'!$E$15,COLUMN()-COLUMN($C$11),0)</f>
        <v>2691.6666666666665</v>
      </c>
      <c r="L15" s="5">
        <f ca="1">OFFSET('Rate Class Customer Model'!$E$15,COLUMN()-COLUMN($C$11),0)</f>
        <v>2724.9166666666665</v>
      </c>
      <c r="M15" s="5">
        <f ca="1">OFFSET('Rate Class Customer Model'!$E$15,COLUMN()-COLUMN($C$11),0)</f>
        <v>2875.75</v>
      </c>
      <c r="N15" s="148">
        <f ca="1">OFFSET('Rate Class Customer Model'!$E$15,COLUMN()-COLUMN($C$11)+14,0)</f>
        <v>2946.5803320079062</v>
      </c>
      <c r="O15" s="148">
        <f ca="1">OFFSET('Rate Class Customer Model'!$E$15,COLUMN()-COLUMN($C$11)+14,0)</f>
        <v>3000.0074903961308</v>
      </c>
      <c r="P15" s="5"/>
    </row>
    <row r="16" spans="1:16" x14ac:dyDescent="0.2">
      <c r="A16" t="s">
        <v>55</v>
      </c>
      <c r="C16" s="5">
        <f ca="1">OFFSET('Rate Class Energy Model'!$D$6,COLUMN()-COLUMN($C16),0)</f>
        <v>83338833.540000021</v>
      </c>
      <c r="D16" s="5">
        <f ca="1">OFFSET('Rate Class Energy Model'!$D$6,COLUMN()-COLUMN($C16),0)</f>
        <v>84168273.069999993</v>
      </c>
      <c r="E16" s="5">
        <f ca="1">OFFSET('Rate Class Energy Model'!$D$6,COLUMN()-COLUMN($C16),0)</f>
        <v>87021883.129999995</v>
      </c>
      <c r="F16" s="5">
        <f ca="1">OFFSET('Rate Class Energy Model'!$D$6,COLUMN()-COLUMN($C16),0)</f>
        <v>88384426.730000004</v>
      </c>
      <c r="G16" s="5">
        <f ca="1">OFFSET('Rate Class Energy Model'!$D$6,COLUMN()-COLUMN($C16),0)</f>
        <v>88333188.626506001</v>
      </c>
      <c r="H16" s="5">
        <f ca="1">OFFSET('Rate Class Energy Model'!$D$6,COLUMN()-COLUMN($C16),0)</f>
        <v>88749928.414457858</v>
      </c>
      <c r="I16" s="5">
        <f ca="1">OFFSET('Rate Class Energy Model'!$D$6,COLUMN()-COLUMN($C16),0)</f>
        <v>82899471.903614432</v>
      </c>
      <c r="J16" s="5">
        <f ca="1">OFFSET('Rate Class Energy Model'!$D$6,COLUMN()-COLUMN($C16),0)</f>
        <v>86093744.838554204</v>
      </c>
      <c r="K16" s="5">
        <f ca="1">OFFSET('Rate Class Energy Model'!$D$6,COLUMN()-COLUMN($C16),0)</f>
        <v>83808650.746987954</v>
      </c>
      <c r="L16" s="5">
        <f ca="1">OFFSET('Rate Class Energy Model'!$D$6,COLUMN()-COLUMN($C16),0)</f>
        <v>79694764.992771059</v>
      </c>
      <c r="M16" s="5">
        <f ca="1">OFFSET('Rate Class Energy Model'!$D$6,COLUMN()-COLUMN($C16),0)</f>
        <v>85479169.763855413</v>
      </c>
      <c r="N16" s="148">
        <f ca="1">OFFSET('Rate Class Energy Model'!$D$6,COLUMN()-COLUMN($C16)+5,0)</f>
        <v>85936417.020232007</v>
      </c>
      <c r="O16" s="148">
        <f ca="1">OFFSET('Rate Class Energy Model'!$D$6,COLUMN()-COLUMN($C16)+5,0)</f>
        <v>88577597.648644209</v>
      </c>
      <c r="P16" s="5"/>
    </row>
    <row r="17" spans="1:21" ht="5.0999999999999996" customHeight="1" x14ac:dyDescent="0.2">
      <c r="N17" s="26"/>
      <c r="O17" s="1"/>
      <c r="P17" s="1"/>
      <c r="S17">
        <f>IF(R17="Over",Q17*12*C17,L17)</f>
        <v>0</v>
      </c>
      <c r="U17" s="94">
        <v>1</v>
      </c>
    </row>
    <row r="18" spans="1:21" x14ac:dyDescent="0.2">
      <c r="A18" s="21" t="str">
        <f>'Rate Class Energy Model'!E2</f>
        <v>General Service  50 to 999 kW</v>
      </c>
      <c r="B18" s="21"/>
      <c r="N18" s="5"/>
      <c r="O18" s="1"/>
      <c r="P18" s="1"/>
      <c r="T18">
        <f t="shared" ref="T18:T23" si="1">IF(R18="Over",(S4-S18),M18+N18)</f>
        <v>0</v>
      </c>
    </row>
    <row r="19" spans="1:21" x14ac:dyDescent="0.2">
      <c r="A19" t="s">
        <v>54</v>
      </c>
      <c r="C19" s="5">
        <f ca="1">OFFSET('Rate Class Customer Model'!$H$15,COLUMN()-COLUMN($C$11),0)</f>
        <v>263.58333333333331</v>
      </c>
      <c r="D19" s="5">
        <f ca="1">OFFSET('Rate Class Customer Model'!$H$15,COLUMN()-COLUMN($C$11),0)</f>
        <v>271.33333333333331</v>
      </c>
      <c r="E19" s="5">
        <f ca="1">OFFSET('Rate Class Customer Model'!$H$15,COLUMN()-COLUMN($C$11),0)</f>
        <v>272.16666666666669</v>
      </c>
      <c r="F19" s="5">
        <f ca="1">OFFSET('Rate Class Customer Model'!$H$15,COLUMN()-COLUMN($C$11),0)</f>
        <v>279.5</v>
      </c>
      <c r="G19" s="5">
        <f ca="1">OFFSET('Rate Class Customer Model'!$H$15,COLUMN()-COLUMN($C$11),0)</f>
        <v>290.58333333333331</v>
      </c>
      <c r="H19" s="5">
        <f ca="1">OFFSET('Rate Class Customer Model'!$H$15,COLUMN()-COLUMN($C$11),0)</f>
        <v>297.66666666666669</v>
      </c>
      <c r="I19" s="5">
        <f ca="1">OFFSET('Rate Class Customer Model'!$H$15,COLUMN()-COLUMN($C$11),0)</f>
        <v>319.25</v>
      </c>
      <c r="J19" s="5">
        <f ca="1">OFFSET('Rate Class Customer Model'!$H$15,COLUMN()-COLUMN($C$11),0)</f>
        <v>329.66666666666669</v>
      </c>
      <c r="K19" s="5">
        <f ca="1">OFFSET('Rate Class Customer Model'!$H$15,COLUMN()-COLUMN($C$11),0)</f>
        <v>342.33333333333331</v>
      </c>
      <c r="L19" s="5">
        <f ca="1">OFFSET('Rate Class Customer Model'!$H$15,COLUMN()-COLUMN($C$11),0)</f>
        <v>352.75</v>
      </c>
      <c r="M19" s="5">
        <f ca="1">OFFSET('Rate Class Customer Model'!$H$15,COLUMN()-COLUMN($C$11),0)</f>
        <v>344.58333333333331</v>
      </c>
      <c r="N19" s="148">
        <f ca="1">OFFSET('Rate Class Customer Model'!$H$15,COLUMN()-COLUMN($C$11)+14,0)</f>
        <v>332.85413131613916</v>
      </c>
      <c r="O19" s="148">
        <f ca="1">OFFSET('Rate Class Customer Model'!$H$15,COLUMN()-COLUMN($C$11)+14,0)</f>
        <v>343.91043784840258</v>
      </c>
      <c r="P19" s="5"/>
      <c r="T19">
        <f t="shared" ca="1" si="1"/>
        <v>677.43746464947253</v>
      </c>
    </row>
    <row r="20" spans="1:21" x14ac:dyDescent="0.2">
      <c r="A20" t="s">
        <v>55</v>
      </c>
      <c r="C20" s="5">
        <f ca="1">OFFSET('Rate Class Energy Model'!$E$6,COLUMN()-COLUMN($C20),0)</f>
        <v>192782769.75999996</v>
      </c>
      <c r="D20" s="5">
        <f ca="1">OFFSET('Rate Class Energy Model'!$E$6,COLUMN()-COLUMN($C20),0)</f>
        <v>194206572.97999996</v>
      </c>
      <c r="E20" s="5">
        <f ca="1">OFFSET('Rate Class Energy Model'!$E$6,COLUMN()-COLUMN($C20),0)</f>
        <v>203179610.86000001</v>
      </c>
      <c r="F20" s="5">
        <f ca="1">OFFSET('Rate Class Energy Model'!$E$6,COLUMN()-COLUMN($C20),0)</f>
        <v>204924669.72999999</v>
      </c>
      <c r="G20" s="5">
        <f ca="1">OFFSET('Rate Class Energy Model'!$E$6,COLUMN()-COLUMN($C20),0)</f>
        <v>205449544.32771084</v>
      </c>
      <c r="H20" s="5">
        <f ca="1">OFFSET('Rate Class Energy Model'!$E$6,COLUMN()-COLUMN($C20),0)</f>
        <v>204715589.59036142</v>
      </c>
      <c r="I20" s="5">
        <f ca="1">OFFSET('Rate Class Energy Model'!$E$6,COLUMN()-COLUMN($C20),0)</f>
        <v>213633991.96144572</v>
      </c>
      <c r="J20" s="5">
        <f ca="1">OFFSET('Rate Class Energy Model'!$E$6,COLUMN()-COLUMN($C20),0)</f>
        <v>221806792.86746988</v>
      </c>
      <c r="K20" s="5">
        <f ca="1">OFFSET('Rate Class Energy Model'!$E$6,COLUMN()-COLUMN($C20),0)</f>
        <v>220154820.13493976</v>
      </c>
      <c r="L20" s="5">
        <f ca="1">OFFSET('Rate Class Energy Model'!$E$6,COLUMN()-COLUMN($C20),0)</f>
        <v>209733279.5373494</v>
      </c>
      <c r="M20" s="5">
        <f ca="1">OFFSET('Rate Class Energy Model'!$E$6,COLUMN()-COLUMN($C20),0)</f>
        <v>214209551.57590359</v>
      </c>
      <c r="N20" s="148">
        <f ca="1">OFFSET('Rate Class Energy Model'!$E$6,COLUMN()-COLUMN($C20)+5,0)</f>
        <v>211910527.09467155</v>
      </c>
      <c r="O20" s="148">
        <f ca="1">OFFSET('Rate Class Energy Model'!$E$6,COLUMN()-COLUMN($C20)+5,0)</f>
        <v>221327140.74865586</v>
      </c>
      <c r="P20" s="5"/>
      <c r="T20">
        <f t="shared" ca="1" si="1"/>
        <v>426120078.67057514</v>
      </c>
    </row>
    <row r="21" spans="1:21" x14ac:dyDescent="0.2">
      <c r="A21" t="s">
        <v>56</v>
      </c>
      <c r="C21" s="5">
        <f ca="1">OFFSET('Rate Class Load Model'!$B$2,COLUMN()-COLUMN($C21),0)</f>
        <v>503231</v>
      </c>
      <c r="D21" s="5">
        <f ca="1">OFFSET('Rate Class Load Model'!$B$2,COLUMN()-COLUMN($C21),0)</f>
        <v>520812.31</v>
      </c>
      <c r="E21" s="5">
        <f ca="1">OFFSET('Rate Class Load Model'!$B$2,COLUMN()-COLUMN($C21),0)</f>
        <v>541769.57999999996</v>
      </c>
      <c r="F21" s="5">
        <f ca="1">OFFSET('Rate Class Load Model'!$B$2,COLUMN()-COLUMN($C21),0)</f>
        <v>537015.85</v>
      </c>
      <c r="G21" s="5">
        <f ca="1">OFFSET('Rate Class Load Model'!$B$2,COLUMN()-COLUMN($C21),0)</f>
        <v>553187.45000000007</v>
      </c>
      <c r="H21" s="5">
        <f ca="1">OFFSET('Rate Class Load Model'!$B$2,COLUMN()-COLUMN($C21),0)</f>
        <v>559203.87</v>
      </c>
      <c r="I21" s="5">
        <f ca="1">OFFSET('Rate Class Load Model'!$B$2,COLUMN()-COLUMN($C21),0)</f>
        <v>577937.55000000005</v>
      </c>
      <c r="J21" s="5">
        <f ca="1">OFFSET('Rate Class Load Model'!$B$2,COLUMN()-COLUMN($C21),0)</f>
        <v>598252.29</v>
      </c>
      <c r="K21" s="5">
        <f ca="1">OFFSET('Rate Class Load Model'!$B$2,COLUMN()-COLUMN($C21),0)</f>
        <v>592126.44000000006</v>
      </c>
      <c r="L21" s="5">
        <f ca="1">OFFSET('Rate Class Load Model'!$B$2,COLUMN()-COLUMN($C21),0)</f>
        <v>567108.6</v>
      </c>
      <c r="M21" s="5">
        <f ca="1">OFFSET('Rate Class Load Model'!$B$2,COLUMN()-COLUMN($C21),0)</f>
        <v>580241.52</v>
      </c>
      <c r="N21" s="148">
        <f ca="1">OFFSET('Rate Class Load Model'!$B$2,COLUMN()-COLUMN($C21)+4,0)</f>
        <v>569990.22628810117</v>
      </c>
      <c r="O21" s="148">
        <f ca="1">OFFSET('Rate Class Load Model'!$B$2,COLUMN()-COLUMN($C21)+4,0)</f>
        <v>595318.73554665362</v>
      </c>
      <c r="P21" s="5"/>
      <c r="T21">
        <f t="shared" ca="1" si="1"/>
        <v>1150231.7462881012</v>
      </c>
    </row>
    <row r="22" spans="1:21" ht="5.0999999999999996" customHeight="1" x14ac:dyDescent="0.2">
      <c r="N22" s="26"/>
      <c r="O22" s="1"/>
      <c r="P22" s="1"/>
      <c r="T22">
        <f t="shared" si="1"/>
        <v>0</v>
      </c>
    </row>
    <row r="23" spans="1:21" x14ac:dyDescent="0.2">
      <c r="A23" s="21" t="s">
        <v>57</v>
      </c>
      <c r="B23" s="21"/>
      <c r="L23" s="5"/>
      <c r="M23" s="5"/>
      <c r="N23" s="5"/>
      <c r="O23" s="1"/>
      <c r="P23" s="1"/>
      <c r="T23">
        <f t="shared" si="1"/>
        <v>0</v>
      </c>
    </row>
    <row r="24" spans="1:21" x14ac:dyDescent="0.2">
      <c r="A24" t="s">
        <v>54</v>
      </c>
      <c r="C24" s="5">
        <f ca="1">OFFSET('Rate Class Customer Model'!$K$15,COLUMN()-COLUMN($C$11),0)</f>
        <v>12.5</v>
      </c>
      <c r="D24" s="5">
        <f ca="1">OFFSET('Rate Class Customer Model'!$K$15,COLUMN()-COLUMN($C$11),0)</f>
        <v>12</v>
      </c>
      <c r="E24" s="5">
        <f ca="1">OFFSET('Rate Class Customer Model'!$K$15,COLUMN()-COLUMN($C$11),0)</f>
        <v>11.5</v>
      </c>
      <c r="F24" s="5">
        <f ca="1">OFFSET('Rate Class Customer Model'!$K$15,COLUMN()-COLUMN($C$11),0)</f>
        <v>11.5</v>
      </c>
      <c r="G24" s="5">
        <f ca="1">OFFSET('Rate Class Customer Model'!$K$15,COLUMN()-COLUMN($C$11),0)</f>
        <v>12.583333333333334</v>
      </c>
      <c r="H24" s="5">
        <f ca="1">OFFSET('Rate Class Customer Model'!$K$15,COLUMN()-COLUMN($C$11),0)</f>
        <v>13.5</v>
      </c>
      <c r="I24" s="5">
        <f ca="1">OFFSET('Rate Class Customer Model'!$K$15,COLUMN()-COLUMN($C$11),0)</f>
        <v>15</v>
      </c>
      <c r="J24" s="5">
        <f ca="1">OFFSET('Rate Class Customer Model'!$K$15,COLUMN()-COLUMN($C$11),0)</f>
        <v>14.166666666666666</v>
      </c>
      <c r="K24" s="5">
        <f ca="1">OFFSET('Rate Class Customer Model'!$K$15,COLUMN()-COLUMN($C$11),0)</f>
        <v>14</v>
      </c>
      <c r="L24" s="5">
        <f ca="1">OFFSET('Rate Class Customer Model'!$K$15,COLUMN()-COLUMN($C$11),0)</f>
        <v>14.583333333333334</v>
      </c>
      <c r="M24" s="5">
        <f ca="1">OFFSET('Rate Class Customer Model'!$K$15,COLUMN()-COLUMN($C$11),0)</f>
        <v>13.916666666666666</v>
      </c>
      <c r="N24" s="5">
        <f ca="1">OFFSET('Rate Class Customer Model'!$K$15,COLUMN()-COLUMN($C$11)+14,0)</f>
        <v>12</v>
      </c>
      <c r="O24" s="5">
        <f ca="1">OFFSET('Rate Class Customer Model'!$K$15,COLUMN()-COLUMN($C$11)+14,0)</f>
        <v>12</v>
      </c>
      <c r="P24" s="5"/>
    </row>
    <row r="25" spans="1:21" x14ac:dyDescent="0.2">
      <c r="A25" t="s">
        <v>55</v>
      </c>
      <c r="C25" s="5">
        <f ca="1">OFFSET('Rate Class Energy Model'!$F$6,COLUMN()-COLUMN($C25),0)</f>
        <v>121407487</v>
      </c>
      <c r="D25" s="5">
        <f ca="1">OFFSET('Rate Class Energy Model'!$F$6,COLUMN()-COLUMN($C25),0)</f>
        <v>128979851</v>
      </c>
      <c r="E25" s="5">
        <f ca="1">OFFSET('Rate Class Energy Model'!$F$6,COLUMN()-COLUMN($C25),0)</f>
        <v>100652663.27</v>
      </c>
      <c r="F25" s="5">
        <f ca="1">OFFSET('Rate Class Energy Model'!$F$6,COLUMN()-COLUMN($C25),0)</f>
        <v>110411188.92</v>
      </c>
      <c r="G25" s="5">
        <f ca="1">OFFSET('Rate Class Energy Model'!$F$6,COLUMN()-COLUMN($C25),0)</f>
        <v>112974658.04233061</v>
      </c>
      <c r="H25" s="5">
        <f ca="1">OFFSET('Rate Class Energy Model'!$F$6,COLUMN()-COLUMN($C25),0)</f>
        <v>119969236.41206953</v>
      </c>
      <c r="I25" s="5">
        <f ca="1">OFFSET('Rate Class Energy Model'!$F$6,COLUMN()-COLUMN($C25),0)</f>
        <v>121918931.97074634</v>
      </c>
      <c r="J25" s="5">
        <f ca="1">OFFSET('Rate Class Energy Model'!$F$6,COLUMN()-COLUMN($C25),0)</f>
        <v>130413203.88434154</v>
      </c>
      <c r="K25" s="5">
        <f ca="1">OFFSET('Rate Class Energy Model'!$F$6,COLUMN()-COLUMN($C25),0)</f>
        <v>134423430.54196733</v>
      </c>
      <c r="L25" s="5">
        <f ca="1">OFFSET('Rate Class Energy Model'!$F$6,COLUMN()-COLUMN($C25),0)</f>
        <v>128841062.06228508</v>
      </c>
      <c r="M25" s="5">
        <f ca="1">OFFSET('Rate Class Energy Model'!$F$6,COLUMN()-COLUMN($C25),0)</f>
        <v>132400892.43957959</v>
      </c>
      <c r="N25" s="5">
        <f ca="1">OFFSET('Rate Class Energy Model'!$F$6,COLUMN()-COLUMN($C25)+5,0)</f>
        <v>103617411.17512476</v>
      </c>
      <c r="O25" s="5">
        <f ca="1">OFFSET('Rate Class Energy Model'!$F$6,COLUMN()-COLUMN($C25)+5,0)</f>
        <v>103617411.17512476</v>
      </c>
      <c r="P25" s="5"/>
    </row>
    <row r="26" spans="1:21" x14ac:dyDescent="0.2">
      <c r="A26" t="s">
        <v>56</v>
      </c>
      <c r="C26" s="5">
        <f ca="1">OFFSET('Rate Class Load Model'!$C$2,COLUMN()-COLUMN($C26),0)</f>
        <v>260972</v>
      </c>
      <c r="D26" s="5">
        <f ca="1">OFFSET('Rate Class Load Model'!$C$2,COLUMN()-COLUMN($C26),0)</f>
        <v>287183</v>
      </c>
      <c r="E26" s="5">
        <f ca="1">OFFSET('Rate Class Load Model'!$C$2,COLUMN()-COLUMN($C26),0)</f>
        <v>232734.3</v>
      </c>
      <c r="F26" s="5">
        <f ca="1">OFFSET('Rate Class Load Model'!$C$2,COLUMN()-COLUMN($C26),0)</f>
        <v>242503.52999999997</v>
      </c>
      <c r="G26" s="5">
        <f ca="1">OFFSET('Rate Class Load Model'!$C$2,COLUMN()-COLUMN($C26),0)</f>
        <v>254931.54</v>
      </c>
      <c r="H26" s="5">
        <f ca="1">OFFSET('Rate Class Load Model'!$C$2,COLUMN()-COLUMN($C26),0)</f>
        <v>271131.24</v>
      </c>
      <c r="I26" s="5">
        <f ca="1">OFFSET('Rate Class Load Model'!$C$2,COLUMN()-COLUMN($C26),0)</f>
        <v>279302.57</v>
      </c>
      <c r="J26" s="5">
        <f ca="1">OFFSET('Rate Class Load Model'!$C$2,COLUMN()-COLUMN($C26),0)</f>
        <v>289804.19999999995</v>
      </c>
      <c r="K26" s="5">
        <f ca="1">OFFSET('Rate Class Load Model'!$C$2,COLUMN()-COLUMN($C26),0)</f>
        <v>295909.30999999994</v>
      </c>
      <c r="L26" s="5">
        <f ca="1">OFFSET('Rate Class Load Model'!$C$2,COLUMN()-COLUMN($C26),0)</f>
        <v>278402.25</v>
      </c>
      <c r="M26" s="5">
        <f ca="1">OFFSET('Rate Class Load Model'!$C$2,COLUMN()-COLUMN($C26),0)</f>
        <v>266215.46999999997</v>
      </c>
      <c r="N26" s="5">
        <f ca="1">OFFSET('Rate Class Load Model'!$C$2,COLUMN()-COLUMN($C26)+4,0)</f>
        <v>225593.88847941163</v>
      </c>
      <c r="O26" s="5">
        <f ca="1">OFFSET('Rate Class Load Model'!$C$2,COLUMN()-COLUMN($C26)+4,0)</f>
        <v>225593.88847941163</v>
      </c>
      <c r="P26" s="5"/>
    </row>
    <row r="27" spans="1:21" ht="5.0999999999999996" customHeight="1" x14ac:dyDescent="0.2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"/>
      <c r="P27" s="1"/>
    </row>
    <row r="28" spans="1:21" x14ac:dyDescent="0.2">
      <c r="A28" s="21" t="str">
        <f>'Rate Class Energy Model'!G2</f>
        <v>Large User</v>
      </c>
      <c r="B28" s="21"/>
      <c r="N28" s="5"/>
      <c r="O28" s="1"/>
      <c r="P28" s="1"/>
    </row>
    <row r="29" spans="1:21" x14ac:dyDescent="0.2">
      <c r="A29" t="s">
        <v>54</v>
      </c>
      <c r="C29" s="5">
        <f ca="1">OFFSET('Rate Class Customer Model'!$N$15,COLUMN()-COLUMN($C$11),0)</f>
        <v>2</v>
      </c>
      <c r="D29" s="5">
        <f ca="1">OFFSET('Rate Class Customer Model'!$N$15,COLUMN()-COLUMN($C$11),0)</f>
        <v>2</v>
      </c>
      <c r="E29" s="5">
        <f ca="1">OFFSET('Rate Class Customer Model'!$N$15,COLUMN()-COLUMN($C$11),0)</f>
        <v>2.5</v>
      </c>
      <c r="F29" s="5">
        <f ca="1">OFFSET('Rate Class Customer Model'!$N$15,COLUMN()-COLUMN($C$11),0)</f>
        <v>3</v>
      </c>
      <c r="G29" s="5">
        <f ca="1">OFFSET('Rate Class Customer Model'!$N$15,COLUMN()-COLUMN($C$11),0)</f>
        <v>3</v>
      </c>
      <c r="H29" s="5">
        <f ca="1">OFFSET('Rate Class Customer Model'!$N$15,COLUMN()-COLUMN($C$11),0)</f>
        <v>3</v>
      </c>
      <c r="I29" s="5">
        <f ca="1">OFFSET('Rate Class Customer Model'!$N$15,COLUMN()-COLUMN($C$11),0)</f>
        <v>3</v>
      </c>
      <c r="J29" s="5">
        <f ca="1">OFFSET('Rate Class Customer Model'!$N$15,COLUMN()-COLUMN($C$11),0)</f>
        <v>3</v>
      </c>
      <c r="K29" s="5">
        <f ca="1">OFFSET('Rate Class Customer Model'!$N$15,COLUMN()-COLUMN($C$11),0)</f>
        <v>3</v>
      </c>
      <c r="L29" s="5">
        <f ca="1">OFFSET('Rate Class Customer Model'!$N$15,COLUMN()-COLUMN($C$11),0)</f>
        <v>3</v>
      </c>
      <c r="M29" s="5">
        <f ca="1">OFFSET('Rate Class Customer Model'!$N$15,COLUMN()-COLUMN($C$11),0)</f>
        <v>3</v>
      </c>
      <c r="N29" s="5">
        <f ca="1">OFFSET('Rate Class Customer Model'!$N$15,COLUMN()-COLUMN($C$11)+14,0)</f>
        <v>3</v>
      </c>
      <c r="O29" s="5">
        <f ca="1">OFFSET('Rate Class Customer Model'!$N$15,COLUMN()-COLUMN($C$11)+14,0)</f>
        <v>3</v>
      </c>
      <c r="P29" s="5"/>
    </row>
    <row r="30" spans="1:21" x14ac:dyDescent="0.2">
      <c r="A30" t="s">
        <v>55</v>
      </c>
      <c r="C30" s="5">
        <f ca="1">OFFSET('Rate Class Energy Model'!$G$6,COLUMN()-COLUMN($C30),0)</f>
        <v>80336534</v>
      </c>
      <c r="D30" s="5">
        <f ca="1">OFFSET('Rate Class Energy Model'!$G$6,COLUMN()-COLUMN($C30),0)</f>
        <v>86554626</v>
      </c>
      <c r="E30" s="5">
        <f ca="1">OFFSET('Rate Class Energy Model'!$G$6,COLUMN()-COLUMN($C30),0)</f>
        <v>127931414.90000002</v>
      </c>
      <c r="F30" s="5">
        <f ca="1">OFFSET('Rate Class Energy Model'!$G$6,COLUMN()-COLUMN($C30),0)</f>
        <v>133427900.34</v>
      </c>
      <c r="G30" s="5">
        <f ca="1">OFFSET('Rate Class Energy Model'!$G$6,COLUMN()-COLUMN($C30),0)</f>
        <v>136606296.6878854</v>
      </c>
      <c r="H30" s="5">
        <f ca="1">OFFSET('Rate Class Energy Model'!$G$6,COLUMN()-COLUMN($C30),0)</f>
        <v>140016226.34772229</v>
      </c>
      <c r="I30" s="5">
        <f ca="1">OFFSET('Rate Class Energy Model'!$G$6,COLUMN()-COLUMN($C30),0)</f>
        <v>137562121.61328822</v>
      </c>
      <c r="J30" s="5">
        <f ca="1">OFFSET('Rate Class Energy Model'!$G$6,COLUMN()-COLUMN($C30),0)</f>
        <v>138505562.38313109</v>
      </c>
      <c r="K30" s="5">
        <f ca="1">OFFSET('Rate Class Energy Model'!$G$6,COLUMN()-COLUMN($C30),0)</f>
        <v>144434637.29858762</v>
      </c>
      <c r="L30" s="5">
        <f ca="1">OFFSET('Rate Class Energy Model'!$G$6,COLUMN()-COLUMN($C30),0)</f>
        <v>129179340.58086331</v>
      </c>
      <c r="M30" s="5">
        <f ca="1">OFFSET('Rate Class Energy Model'!$G$6,COLUMN()-COLUMN($C30),0)</f>
        <v>137730887.895365</v>
      </c>
      <c r="N30" s="5">
        <f ca="1">OFFSET('Rate Class Energy Model'!$G$6,COLUMN()-COLUMN($C30)+5,0)</f>
        <v>131131300.15596515</v>
      </c>
      <c r="O30" s="5">
        <f ca="1">OFFSET('Rate Class Energy Model'!$G$6,COLUMN()-COLUMN($C30)+5,0)</f>
        <v>131131300.15596515</v>
      </c>
      <c r="P30" s="5"/>
    </row>
    <row r="31" spans="1:21" x14ac:dyDescent="0.2">
      <c r="A31" t="s">
        <v>56</v>
      </c>
      <c r="C31" s="5">
        <f ca="1">OFFSET('Rate Class Load Model'!$D$2,COLUMN()-COLUMN($C31),0)</f>
        <v>175385</v>
      </c>
      <c r="D31" s="5">
        <f ca="1">OFFSET('Rate Class Load Model'!$D$2,COLUMN()-COLUMN($C31),0)</f>
        <v>179954</v>
      </c>
      <c r="E31" s="5">
        <f ca="1">OFFSET('Rate Class Load Model'!$D$2,COLUMN()-COLUMN($C31),0)</f>
        <v>246682.37</v>
      </c>
      <c r="F31" s="5">
        <f ca="1">OFFSET('Rate Class Load Model'!$D$2,COLUMN()-COLUMN($C31),0)</f>
        <v>253601.38999999998</v>
      </c>
      <c r="G31" s="5">
        <f ca="1">OFFSET('Rate Class Load Model'!$D$2,COLUMN()-COLUMN($C31),0)</f>
        <v>253385.80000000002</v>
      </c>
      <c r="H31" s="5">
        <f ca="1">OFFSET('Rate Class Load Model'!$D$2,COLUMN()-COLUMN($C31),0)</f>
        <v>259409.75999999998</v>
      </c>
      <c r="I31" s="5">
        <f ca="1">OFFSET('Rate Class Load Model'!$D$2,COLUMN()-COLUMN($C31),0)</f>
        <v>263694.88</v>
      </c>
      <c r="J31" s="5">
        <f ca="1">OFFSET('Rate Class Load Model'!$D$2,COLUMN()-COLUMN($C31),0)</f>
        <v>268937.04000000004</v>
      </c>
      <c r="K31" s="5">
        <f ca="1">OFFSET('Rate Class Load Model'!$D$2,COLUMN()-COLUMN($C31),0)</f>
        <v>282021.99000000005</v>
      </c>
      <c r="L31" s="5">
        <f ca="1">OFFSET('Rate Class Load Model'!$D$2,COLUMN()-COLUMN($C31),0)</f>
        <v>268250.83</v>
      </c>
      <c r="M31" s="5">
        <f ca="1">OFFSET('Rate Class Load Model'!$D$2,COLUMN()-COLUMN($C31),0)</f>
        <v>279213.42</v>
      </c>
      <c r="N31" s="5">
        <f ca="1">OFFSET('Rate Class Load Model'!$D$2,COLUMN()-COLUMN($C31)+4,0)</f>
        <v>260034.12639671177</v>
      </c>
      <c r="O31" s="5">
        <f ca="1">OFFSET('Rate Class Load Model'!$D$2,COLUMN()-COLUMN($C31)+4,0)</f>
        <v>260034.12639671177</v>
      </c>
      <c r="P31" s="5"/>
    </row>
    <row r="32" spans="1:21" ht="5.0999999999999996" customHeight="1" x14ac:dyDescent="0.2">
      <c r="N32" s="26"/>
      <c r="O32" s="1"/>
      <c r="P32" s="1"/>
    </row>
    <row r="33" spans="1:24" x14ac:dyDescent="0.2">
      <c r="A33" s="21" t="str">
        <f>'Rate Class Energy Model'!H2</f>
        <v xml:space="preserve">Streetlights </v>
      </c>
      <c r="B33" s="21"/>
      <c r="N33" s="5"/>
      <c r="O33" s="1"/>
      <c r="P33" s="1"/>
    </row>
    <row r="34" spans="1:24" x14ac:dyDescent="0.2">
      <c r="A34" t="s">
        <v>58</v>
      </c>
      <c r="C34" s="5">
        <f ca="1">OFFSET('Rate Class Customer Model'!$Q$15,COLUMN()-COLUMN($C$11),0)</f>
        <v>2847.5</v>
      </c>
      <c r="D34" s="5">
        <f ca="1">OFFSET('Rate Class Customer Model'!$Q$15,COLUMN()-COLUMN($C$11),0)</f>
        <v>2945.5</v>
      </c>
      <c r="E34" s="5">
        <f ca="1">OFFSET('Rate Class Customer Model'!$Q$15,COLUMN()-COLUMN($C$11),0)</f>
        <v>3018.5</v>
      </c>
      <c r="F34" s="5">
        <f ca="1">OFFSET('Rate Class Customer Model'!$Q$15,COLUMN()-COLUMN($C$11),0)</f>
        <v>3071.5</v>
      </c>
      <c r="G34" s="5">
        <f ca="1">OFFSET('Rate Class Customer Model'!$Q$15,COLUMN()-COLUMN($C$11),0)</f>
        <v>3127.6666666666665</v>
      </c>
      <c r="H34" s="5">
        <f ca="1">OFFSET('Rate Class Customer Model'!$Q$15,COLUMN()-COLUMN($C$11),0)</f>
        <v>3165</v>
      </c>
      <c r="I34" s="5">
        <f ca="1">OFFSET('Rate Class Customer Model'!$Q$15,COLUMN()-COLUMN($C$11),0)</f>
        <v>3230.8333333333335</v>
      </c>
      <c r="J34" s="5">
        <f ca="1">OFFSET('Rate Class Customer Model'!$Q$15,COLUMN()-COLUMN($C$11),0)</f>
        <v>3261.8852459016393</v>
      </c>
      <c r="K34" s="5">
        <f ca="1">OFFSET('Rate Class Customer Model'!$Q$15,COLUMN()-COLUMN($C$11),0)</f>
        <v>3279.25</v>
      </c>
      <c r="L34" s="5">
        <f ca="1">OFFSET('Rate Class Customer Model'!$Q$15,COLUMN()-COLUMN($C$11),0)</f>
        <v>3217.6372549019611</v>
      </c>
      <c r="M34" s="5">
        <f ca="1">OFFSET('Rate Class Customer Model'!$Q$15,COLUMN()-COLUMN($C$11),0)</f>
        <v>2891.9519230769233</v>
      </c>
      <c r="N34" s="5">
        <f ca="1">OFFSET('Rate Class Customer Model'!$Q$15,COLUMN()-COLUMN($C$11)+14,0)</f>
        <v>2904.6832348918383</v>
      </c>
      <c r="O34" s="5">
        <f ca="1">OFFSET('Rate Class Customer Model'!$Q$15,COLUMN()-COLUMN($C$11)+14,0)</f>
        <v>2919.41159236661</v>
      </c>
      <c r="P34" s="5"/>
    </row>
    <row r="35" spans="1:24" x14ac:dyDescent="0.2">
      <c r="A35" t="s">
        <v>55</v>
      </c>
      <c r="C35" s="5">
        <f ca="1">OFFSET('Rate Class Energy Model'!$H$6,COLUMN()-COLUMN($C35),0)</f>
        <v>6418516</v>
      </c>
      <c r="D35" s="5">
        <f ca="1">OFFSET('Rate Class Energy Model'!$H$6,COLUMN()-COLUMN($C35),0)</f>
        <v>6834941</v>
      </c>
      <c r="E35" s="5">
        <f ca="1">OFFSET('Rate Class Energy Model'!$H$6,COLUMN()-COLUMN($C35),0)</f>
        <v>7077824.8700000001</v>
      </c>
      <c r="F35" s="5">
        <f ca="1">OFFSET('Rate Class Energy Model'!$H$6,COLUMN()-COLUMN($C35),0)</f>
        <v>7239934.3099999996</v>
      </c>
      <c r="G35" s="5">
        <f ca="1">OFFSET('Rate Class Energy Model'!$H$6,COLUMN()-COLUMN($C35),0)</f>
        <v>7608033.2626506016</v>
      </c>
      <c r="H35" s="5">
        <f ca="1">OFFSET('Rate Class Energy Model'!$H$6,COLUMN()-COLUMN($C35),0)</f>
        <v>7791989.3204819262</v>
      </c>
      <c r="I35" s="5">
        <f ca="1">OFFSET('Rate Class Energy Model'!$H$6,COLUMN()-COLUMN($C35),0)</f>
        <v>7758774.5638554217</v>
      </c>
      <c r="J35" s="5">
        <f ca="1">OFFSET('Rate Class Energy Model'!$H$6,COLUMN()-COLUMN($C35),0)</f>
        <v>7837155.3349397583</v>
      </c>
      <c r="K35" s="5">
        <f ca="1">OFFSET('Rate Class Energy Model'!$H$6,COLUMN()-COLUMN($C35),0)</f>
        <v>6707353.0024096388</v>
      </c>
      <c r="L35" s="5">
        <f ca="1">OFFSET('Rate Class Energy Model'!$H$6,COLUMN()-COLUMN($C35),0)</f>
        <v>5438441.1759036137</v>
      </c>
      <c r="M35" s="5">
        <f ca="1">OFFSET('Rate Class Energy Model'!$H$6,COLUMN()-COLUMN($C35),0)</f>
        <v>5029763.2289156616</v>
      </c>
      <c r="N35" s="5">
        <f ca="1">OFFSET('Rate Class Energy Model'!$H$6,COLUMN()-COLUMN($C35)+5,0)</f>
        <v>5051905.8805661034</v>
      </c>
      <c r="O35" s="5">
        <f ca="1">OFFSET('Rate Class Energy Model'!$H$6,COLUMN()-COLUMN($C35)+5,0)</f>
        <v>5077521.8495792095</v>
      </c>
      <c r="P35" s="5"/>
    </row>
    <row r="36" spans="1:24" x14ac:dyDescent="0.2">
      <c r="A36" t="s">
        <v>56</v>
      </c>
      <c r="C36" s="5">
        <f ca="1">OFFSET('Rate Class Load Model'!$E$2,COLUMN()-COLUMN($C36),0)</f>
        <v>17894</v>
      </c>
      <c r="D36" s="5">
        <f ca="1">OFFSET('Rate Class Load Model'!$E$2,COLUMN()-COLUMN($C36),0)</f>
        <v>19000</v>
      </c>
      <c r="E36" s="5">
        <f ca="1">OFFSET('Rate Class Load Model'!$E$2,COLUMN()-COLUMN($C36),0)</f>
        <v>19747.59</v>
      </c>
      <c r="F36" s="5">
        <f ca="1">OFFSET('Rate Class Load Model'!$E$2,COLUMN()-COLUMN($C36),0)</f>
        <v>20172.63</v>
      </c>
      <c r="G36" s="5">
        <f ca="1">OFFSET('Rate Class Load Model'!$E$2,COLUMN()-COLUMN($C36),0)</f>
        <v>21372.33</v>
      </c>
      <c r="H36" s="5">
        <f ca="1">OFFSET('Rate Class Load Model'!$E$2,COLUMN()-COLUMN($C36),0)</f>
        <v>21692.510000000002</v>
      </c>
      <c r="I36" s="5">
        <f ca="1">OFFSET('Rate Class Load Model'!$E$2,COLUMN()-COLUMN($C36),0)</f>
        <v>21900.93</v>
      </c>
      <c r="J36" s="5">
        <f ca="1">OFFSET('Rate Class Load Model'!$E$2,COLUMN()-COLUMN($C36),0)</f>
        <v>21867.030000000002</v>
      </c>
      <c r="K36" s="5">
        <f ca="1">OFFSET('Rate Class Load Model'!$E$2,COLUMN()-COLUMN($C36),0)</f>
        <v>18722.650000000001</v>
      </c>
      <c r="L36" s="5">
        <f ca="1">OFFSET('Rate Class Load Model'!$E$2,COLUMN()-COLUMN($C36),0)</f>
        <v>15143.04</v>
      </c>
      <c r="M36" s="5">
        <f ca="1">OFFSET('Rate Class Load Model'!$E$2,COLUMN()-COLUMN($C36),0)</f>
        <v>14018.58</v>
      </c>
      <c r="N36" s="5">
        <f ca="1">OFFSET('Rate Class Load Model'!$E$2,COLUMN()-COLUMN($C36)+4,0)</f>
        <v>14107.530688567846</v>
      </c>
      <c r="O36" s="5">
        <f ca="1">OFFSET('Rate Class Load Model'!$E$2,COLUMN()-COLUMN($C36)+4,0)</f>
        <v>14179.063705514967</v>
      </c>
      <c r="P36" s="5"/>
    </row>
    <row r="37" spans="1:24" ht="5.0999999999999996" customHeight="1" x14ac:dyDescent="0.2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1"/>
      <c r="P37" s="1"/>
    </row>
    <row r="38" spans="1:24" x14ac:dyDescent="0.2">
      <c r="A38" s="21" t="str">
        <f>'Rate Class Energy Model'!I2</f>
        <v>Sentinel Lights</v>
      </c>
      <c r="B38" s="21"/>
      <c r="N38" s="5"/>
      <c r="O38" s="1"/>
      <c r="P38" s="1"/>
    </row>
    <row r="39" spans="1:24" x14ac:dyDescent="0.2">
      <c r="A39" t="s">
        <v>58</v>
      </c>
      <c r="C39" s="5">
        <f ca="1">OFFSET('Rate Class Customer Model'!$T$15,COLUMN()-COLUMN($C$11),0)</f>
        <v>265.5</v>
      </c>
      <c r="D39" s="5">
        <f ca="1">OFFSET('Rate Class Customer Model'!$T$15,COLUMN()-COLUMN($C$11),0)</f>
        <v>265</v>
      </c>
      <c r="E39" s="5">
        <f ca="1">OFFSET('Rate Class Customer Model'!$T$15,COLUMN()-COLUMN($C$11),0)</f>
        <v>260.5</v>
      </c>
      <c r="F39" s="5">
        <f ca="1">OFFSET('Rate Class Customer Model'!$T$15,COLUMN()-COLUMN($C$11),0)</f>
        <v>253.5</v>
      </c>
      <c r="G39" s="5">
        <f ca="1">OFFSET('Rate Class Customer Model'!$T$15,COLUMN()-COLUMN($C$11),0)</f>
        <v>249.47058823529406</v>
      </c>
      <c r="H39" s="5">
        <f ca="1">OFFSET('Rate Class Customer Model'!$T$15,COLUMN()-COLUMN($C$11),0)</f>
        <v>246.64705882352919</v>
      </c>
      <c r="I39" s="5">
        <f ca="1">OFFSET('Rate Class Customer Model'!$T$15,COLUMN()-COLUMN($C$11),0)</f>
        <v>243.82352941176433</v>
      </c>
      <c r="J39" s="5">
        <f ca="1">OFFSET('Rate Class Customer Model'!$T$15,COLUMN()-COLUMN($C$11),0)</f>
        <v>240.99999999999946</v>
      </c>
      <c r="K39" s="5">
        <f ca="1">OFFSET('Rate Class Customer Model'!$T$15,COLUMN()-COLUMN($C$11),0)</f>
        <v>238.17647058823459</v>
      </c>
      <c r="L39" s="5">
        <f ca="1">OFFSET('Rate Class Customer Model'!$T$15,COLUMN()-COLUMN($C$11),0)</f>
        <v>235.88235294117598</v>
      </c>
      <c r="M39" s="5">
        <f ca="1">OFFSET('Rate Class Customer Model'!$T$15,COLUMN()-COLUMN($C$11),0)</f>
        <v>237</v>
      </c>
      <c r="N39" s="5">
        <f ca="1">OFFSET('Rate Class Customer Model'!$T$15,COLUMN()-COLUMN($C$11)+14,0)</f>
        <v>234.07753306777536</v>
      </c>
      <c r="O39" s="5">
        <f ca="1">OFFSET('Rate Class Customer Model'!$T$15,COLUMN()-COLUMN($C$11)+14,0)</f>
        <v>231.19110332107795</v>
      </c>
      <c r="P39" s="5"/>
    </row>
    <row r="40" spans="1:24" x14ac:dyDescent="0.2">
      <c r="A40" t="s">
        <v>55</v>
      </c>
      <c r="C40" s="5">
        <f ca="1">OFFSET('Rate Class Energy Model'!$I$6,COLUMN()-COLUMN($C40),0)</f>
        <v>158082</v>
      </c>
      <c r="D40" s="5">
        <f ca="1">OFFSET('Rate Class Energy Model'!$I$6,COLUMN()-COLUMN($C40),0)</f>
        <v>155804</v>
      </c>
      <c r="E40" s="5">
        <f ca="1">OFFSET('Rate Class Energy Model'!$I$6,COLUMN()-COLUMN($C40),0)</f>
        <v>153123.74</v>
      </c>
      <c r="F40" s="5">
        <f ca="1">OFFSET('Rate Class Energy Model'!$I$6,COLUMN()-COLUMN($C40),0)</f>
        <v>151002.67000000001</v>
      </c>
      <c r="G40" s="5">
        <f ca="1">OFFSET('Rate Class Energy Model'!$I$6,COLUMN()-COLUMN($C40),0)</f>
        <v>145491.2470588235</v>
      </c>
      <c r="H40" s="5">
        <f ca="1">OFFSET('Rate Class Energy Model'!$I$6,COLUMN()-COLUMN($C40),0)</f>
        <v>143844.56470588219</v>
      </c>
      <c r="I40" s="5">
        <f ca="1">OFFSET('Rate Class Energy Model'!$I$6,COLUMN()-COLUMN($C40),0)</f>
        <v>142197.88235294091</v>
      </c>
      <c r="J40" s="5">
        <f ca="1">OFFSET('Rate Class Energy Model'!$I$6,COLUMN()-COLUMN($C40),0)</f>
        <v>140551.19999999966</v>
      </c>
      <c r="K40" s="5">
        <f ca="1">OFFSET('Rate Class Energy Model'!$I$6,COLUMN()-COLUMN($C40),0)</f>
        <v>138904.51764705841</v>
      </c>
      <c r="L40" s="5">
        <f ca="1">OFFSET('Rate Class Energy Model'!$I$6,COLUMN()-COLUMN($C40),0)</f>
        <v>137566.58823529384</v>
      </c>
      <c r="M40" s="5">
        <f ca="1">OFFSET('Rate Class Energy Model'!$I$6,COLUMN()-COLUMN($C40),0)</f>
        <v>138218.4</v>
      </c>
      <c r="N40" s="5">
        <f ca="1">OFFSET('Rate Class Energy Model'!$I$6,COLUMN()-COLUMN($C40)+5,0)</f>
        <v>136514.01728512658</v>
      </c>
      <c r="O40" s="5">
        <f ca="1">OFFSET('Rate Class Energy Model'!$I$6,COLUMN()-COLUMN($C40)+5,0)</f>
        <v>134830.65145685265</v>
      </c>
      <c r="P40" s="5"/>
    </row>
    <row r="41" spans="1:24" x14ac:dyDescent="0.2">
      <c r="A41" t="s">
        <v>56</v>
      </c>
      <c r="C41" s="5">
        <f ca="1">OFFSET('Rate Class Load Model'!$F$2,COLUMN()-COLUMN($C41),0)</f>
        <v>439.11666666666667</v>
      </c>
      <c r="D41" s="5">
        <f ca="1">OFFSET('Rate Class Load Model'!$F$2,COLUMN()-COLUMN($C41),0)</f>
        <v>412.7016666666666</v>
      </c>
      <c r="E41" s="5">
        <f ca="1">OFFSET('Rate Class Load Model'!$F$2,COLUMN()-COLUMN($C41),0)</f>
        <v>425.3437222222222</v>
      </c>
      <c r="F41" s="5">
        <f ca="1">OFFSET('Rate Class Load Model'!$F$2,COLUMN()-COLUMN($C41),0)</f>
        <v>419.45277777777801</v>
      </c>
      <c r="G41" s="5">
        <f ca="1">OFFSET('Rate Class Load Model'!$F$2,COLUMN()-COLUMN($C41),0)</f>
        <v>416.29602359208536</v>
      </c>
      <c r="H41" s="5">
        <f ca="1">OFFSET('Rate Class Load Model'!$F$2,COLUMN()-COLUMN($C41),0)</f>
        <v>410.46816971080676</v>
      </c>
      <c r="I41" s="5">
        <f ca="1">OFFSET('Rate Class Load Model'!$F$2,COLUMN()-COLUMN($C41),0)</f>
        <v>404.64031582952799</v>
      </c>
      <c r="J41" s="5">
        <f ca="1">OFFSET('Rate Class Load Model'!$F$2,COLUMN()-COLUMN($C41),0)</f>
        <v>398.81246194824945</v>
      </c>
      <c r="K41" s="5">
        <f ca="1">OFFSET('Rate Class Load Model'!$F$2,COLUMN()-COLUMN($C41),0)</f>
        <v>392.98460806697074</v>
      </c>
      <c r="L41" s="5">
        <f ca="1">OFFSET('Rate Class Load Model'!$F$2,COLUMN()-COLUMN($C41),0)</f>
        <v>387.15675418569214</v>
      </c>
      <c r="M41" s="5">
        <f ca="1">OFFSET('Rate Class Load Model'!$F$2,COLUMN()-COLUMN($C41),0)</f>
        <v>384</v>
      </c>
      <c r="N41" s="5">
        <f ca="1">OFFSET('Rate Class Load Model'!$F$2,COLUMN()-COLUMN($C41)+4,0)</f>
        <v>382.56216070109389</v>
      </c>
      <c r="O41" s="5">
        <f ca="1">OFFSET('Rate Class Load Model'!$F$2,COLUMN()-COLUMN($C41)+4,0)</f>
        <v>377.84475452316417</v>
      </c>
      <c r="P41" s="5"/>
    </row>
    <row r="42" spans="1:24" ht="5.0999999999999996" customHeight="1" x14ac:dyDescent="0.2">
      <c r="N42" s="1"/>
      <c r="O42" s="1"/>
      <c r="P42" s="1"/>
    </row>
    <row r="43" spans="1:24" x14ac:dyDescent="0.2">
      <c r="A43" s="21" t="str">
        <f>'Rate Class Energy Model'!J2</f>
        <v xml:space="preserve">Unmetered Loads </v>
      </c>
      <c r="B43" s="21"/>
      <c r="N43" s="1"/>
      <c r="O43" s="1"/>
      <c r="P43" s="1"/>
    </row>
    <row r="44" spans="1:24" x14ac:dyDescent="0.2">
      <c r="A44" t="s">
        <v>58</v>
      </c>
      <c r="C44" s="5">
        <f ca="1">OFFSET('Rate Class Customer Model'!$W$15,COLUMN()-COLUMN($C$11),0)</f>
        <v>185.5</v>
      </c>
      <c r="D44" s="5">
        <f ca="1">OFFSET('Rate Class Customer Model'!$W$15,COLUMN()-COLUMN($C$11),0)</f>
        <v>189.5</v>
      </c>
      <c r="E44" s="5">
        <f ca="1">OFFSET('Rate Class Customer Model'!$W$15,COLUMN()-COLUMN($C$11),0)</f>
        <v>192</v>
      </c>
      <c r="F44" s="5">
        <f ca="1">OFFSET('Rate Class Customer Model'!$W$15,COLUMN()-COLUMN($C$11),0)</f>
        <v>190.5</v>
      </c>
      <c r="G44" s="5">
        <f ca="1">OFFSET('Rate Class Customer Model'!$W$15,COLUMN()-COLUMN($C$11),0)</f>
        <v>207.16666666666666</v>
      </c>
      <c r="H44" s="5">
        <f ca="1">OFFSET('Rate Class Customer Model'!$W$15,COLUMN()-COLUMN($C$11),0)</f>
        <v>222.41666666666666</v>
      </c>
      <c r="I44" s="5">
        <f ca="1">OFFSET('Rate Class Customer Model'!$W$15,COLUMN()-COLUMN($C$11),0)</f>
        <v>215.58333333333334</v>
      </c>
      <c r="J44" s="5">
        <f ca="1">OFFSET('Rate Class Customer Model'!$W$15,COLUMN()-COLUMN($C$11),0)</f>
        <v>219.08333333333334</v>
      </c>
      <c r="K44" s="5">
        <f ca="1">OFFSET('Rate Class Customer Model'!$W$15,COLUMN()-COLUMN($C$11),0)</f>
        <v>216.66666666666666</v>
      </c>
      <c r="L44" s="5">
        <f ca="1">OFFSET('Rate Class Customer Model'!$W$15,COLUMN()-COLUMN($C$11),0)</f>
        <v>215.75</v>
      </c>
      <c r="M44" s="5">
        <f ca="1">OFFSET('Rate Class Customer Model'!$W$15,COLUMN()-COLUMN($C$11),0)</f>
        <v>216.41666666666666</v>
      </c>
      <c r="N44" s="5">
        <f ca="1">OFFSET('Rate Class Customer Model'!$W$15,COLUMN()-COLUMN($C$11)+14,0)</f>
        <v>219.59999999999994</v>
      </c>
      <c r="O44" s="5">
        <f ca="1">OFFSET('Rate Class Customer Model'!$W$15,COLUMN()-COLUMN($C$11)+14,0)</f>
        <v>222.86475388975543</v>
      </c>
      <c r="P44" s="5"/>
    </row>
    <row r="45" spans="1:24" x14ac:dyDescent="0.2">
      <c r="A45" t="s">
        <v>55</v>
      </c>
      <c r="C45" s="5">
        <f ca="1">OFFSET('Rate Class Energy Model'!$J$6,COLUMN()-COLUMN($C45),0)</f>
        <v>1298941</v>
      </c>
      <c r="D45" s="5">
        <f ca="1">OFFSET('Rate Class Energy Model'!$J$6,COLUMN()-COLUMN($C45),0)</f>
        <v>1328091</v>
      </c>
      <c r="E45" s="5">
        <f ca="1">OFFSET('Rate Class Energy Model'!$J$6,COLUMN()-COLUMN($C45),0)</f>
        <v>1336647.2</v>
      </c>
      <c r="F45" s="5">
        <f ca="1">OFFSET('Rate Class Energy Model'!$J$6,COLUMN()-COLUMN($C45),0)</f>
        <v>1339770.73</v>
      </c>
      <c r="G45" s="5">
        <f ca="1">OFFSET('Rate Class Energy Model'!$J$6,COLUMN()-COLUMN($C45),0)</f>
        <v>1010917</v>
      </c>
      <c r="H45" s="5">
        <f ca="1">OFFSET('Rate Class Energy Model'!$J$6,COLUMN()-COLUMN($C45),0)</f>
        <v>1100097.1662650602</v>
      </c>
      <c r="I45" s="5">
        <f ca="1">OFFSET('Rate Class Energy Model'!$J$6,COLUMN()-COLUMN($C45),0)</f>
        <v>1101315.643373494</v>
      </c>
      <c r="J45" s="5">
        <f ca="1">OFFSET('Rate Class Energy Model'!$J$6,COLUMN()-COLUMN($C45),0)</f>
        <v>1092305.8698795179</v>
      </c>
      <c r="K45" s="5">
        <f ca="1">OFFSET('Rate Class Energy Model'!$J$6,COLUMN()-COLUMN($C45),0)</f>
        <v>1062717.8120481926</v>
      </c>
      <c r="L45" s="5">
        <f ca="1">OFFSET('Rate Class Energy Model'!$J$6,COLUMN()-COLUMN($C45),0)</f>
        <v>1061266.6602409636</v>
      </c>
      <c r="M45" s="5">
        <f ca="1">OFFSET('Rate Class Energy Model'!$J$6,COLUMN()-COLUMN($C45),0)</f>
        <v>1036897.1373493974</v>
      </c>
      <c r="N45" s="5">
        <f ca="1">OFFSET('Rate Class Energy Model'!$J$6,COLUMN()-COLUMN($C45)+5,0)</f>
        <v>1052149.1476099852</v>
      </c>
      <c r="O45" s="5">
        <f ca="1">OFFSET('Rate Class Energy Model'!$J$6,COLUMN()-COLUMN($C45)+5,0)</f>
        <v>1067791.2606439681</v>
      </c>
      <c r="P45" s="5"/>
    </row>
    <row r="46" spans="1:24" ht="5.0999999999999996" customHeight="1" x14ac:dyDescent="0.2">
      <c r="N46" s="5"/>
      <c r="O46" s="1"/>
      <c r="P46" s="1"/>
    </row>
    <row r="47" spans="1:24" x14ac:dyDescent="0.2">
      <c r="A47" s="21" t="s">
        <v>59</v>
      </c>
      <c r="B47" s="21"/>
      <c r="C47" s="5"/>
      <c r="D47" s="5"/>
      <c r="E47" s="5"/>
      <c r="F47" s="5"/>
      <c r="G47" s="5"/>
      <c r="H47" s="5"/>
      <c r="J47" s="5"/>
      <c r="K47" s="5"/>
      <c r="L47" s="5"/>
      <c r="M47" s="5"/>
      <c r="N47" s="1"/>
      <c r="O47" s="1"/>
      <c r="P47" s="1"/>
      <c r="X47" s="10"/>
    </row>
    <row r="48" spans="1:24" x14ac:dyDescent="0.2">
      <c r="A48" t="s">
        <v>60</v>
      </c>
      <c r="C48" s="5">
        <f t="shared" ref="C48:E49" ca="1" si="2">C11+C15+C19+C24+C29+C34+C39+C44</f>
        <v>33032.25</v>
      </c>
      <c r="D48" s="5">
        <f t="shared" ca="1" si="2"/>
        <v>34924.75</v>
      </c>
      <c r="E48" s="5">
        <f t="shared" ca="1" si="2"/>
        <v>36946</v>
      </c>
      <c r="F48" s="5">
        <f t="shared" ref="F48:K48" ca="1" si="3">F11+F15+F19+F24+F29+F34+F39+F44</f>
        <v>38026.5</v>
      </c>
      <c r="G48" s="5">
        <f t="shared" ca="1" si="3"/>
        <v>39159.887254901958</v>
      </c>
      <c r="H48" s="5">
        <f t="shared" ca="1" si="3"/>
        <v>40084.063725490189</v>
      </c>
      <c r="I48" s="5">
        <f t="shared" ca="1" si="3"/>
        <v>41017.073529411769</v>
      </c>
      <c r="J48" s="5">
        <f t="shared" ca="1" si="3"/>
        <v>42550.885245901634</v>
      </c>
      <c r="K48" s="5">
        <f t="shared" ca="1" si="3"/>
        <v>43786.259803921566</v>
      </c>
      <c r="L48" s="5">
        <f t="shared" ref="L48:O48" ca="1" si="4">L11+L15+L19+L24+L29+L34+L39+L44</f>
        <v>44470.436274509797</v>
      </c>
      <c r="M48" s="5">
        <f t="shared" ca="1" si="4"/>
        <v>45073.868589743586</v>
      </c>
      <c r="N48" s="5">
        <f t="shared" ca="1" si="4"/>
        <v>45882.045231283664</v>
      </c>
      <c r="O48" s="5">
        <f t="shared" ca="1" si="4"/>
        <v>46819.968711155292</v>
      </c>
      <c r="P48" s="5"/>
    </row>
    <row r="49" spans="1:16" x14ac:dyDescent="0.2">
      <c r="A49" t="s">
        <v>55</v>
      </c>
      <c r="C49" s="5">
        <f t="shared" ca="1" si="2"/>
        <v>754466669.81999993</v>
      </c>
      <c r="D49" s="5">
        <f t="shared" ca="1" si="2"/>
        <v>783449113.69999993</v>
      </c>
      <c r="E49" s="5">
        <f t="shared" ca="1" si="2"/>
        <v>814644301.5</v>
      </c>
      <c r="F49" s="5">
        <f t="shared" ref="F49:K49" ca="1" si="5">F12+F16+F20+F25+F30+F35+F40+F45</f>
        <v>836470876.05999994</v>
      </c>
      <c r="G49" s="5">
        <f t="shared" ca="1" si="5"/>
        <v>848069009.06884122</v>
      </c>
      <c r="H49" s="5">
        <f t="shared" ca="1" si="5"/>
        <v>873235927.80642521</v>
      </c>
      <c r="I49" s="5">
        <f t="shared" ca="1" si="5"/>
        <v>859270211.18686926</v>
      </c>
      <c r="J49" s="5">
        <f t="shared" ca="1" si="5"/>
        <v>909512508.6674726</v>
      </c>
      <c r="K49" s="5">
        <f t="shared" ca="1" si="5"/>
        <v>907143690.21844316</v>
      </c>
      <c r="L49" s="5">
        <f t="shared" ref="L49:O49" ca="1" si="6">L12+L16+L20+L25+L30+L35+L40+L45</f>
        <v>907891652.55668497</v>
      </c>
      <c r="M49" s="5">
        <f t="shared" ca="1" si="6"/>
        <v>936433540.89398074</v>
      </c>
      <c r="N49" s="5">
        <f t="shared" ca="1" si="6"/>
        <v>892957408.8078382</v>
      </c>
      <c r="O49" s="5">
        <f t="shared" ca="1" si="6"/>
        <v>904459351.41578805</v>
      </c>
      <c r="P49" s="5"/>
    </row>
    <row r="50" spans="1:16" x14ac:dyDescent="0.2">
      <c r="A50" t="s">
        <v>61</v>
      </c>
      <c r="C50" s="5">
        <f ca="1">C21+C26+C31+C36+C41</f>
        <v>957921.1166666667</v>
      </c>
      <c r="D50" s="5">
        <f ca="1">D21+D26+D31+D36+D41</f>
        <v>1007362.0116666667</v>
      </c>
      <c r="E50" s="5">
        <f ca="1">E21+E26+E31+E36+E41</f>
        <v>1041359.1837222221</v>
      </c>
      <c r="F50" s="5">
        <f t="shared" ref="F50:K50" ca="1" si="7">F21+F26+F31+F36+F41</f>
        <v>1053712.8527777777</v>
      </c>
      <c r="G50" s="5">
        <f t="shared" ca="1" si="7"/>
        <v>1083293.4160235922</v>
      </c>
      <c r="H50" s="5">
        <f t="shared" ca="1" si="7"/>
        <v>1111847.8481697107</v>
      </c>
      <c r="I50" s="5">
        <f t="shared" ca="1" si="7"/>
        <v>1143240.5703158295</v>
      </c>
      <c r="J50" s="5">
        <f t="shared" ca="1" si="7"/>
        <v>1179259.3724619483</v>
      </c>
      <c r="K50" s="5">
        <f t="shared" ca="1" si="7"/>
        <v>1189173.3746080669</v>
      </c>
      <c r="L50" s="5">
        <f t="shared" ref="L50:O50" ca="1" si="8">L21+L26+L31+L36+L41</f>
        <v>1129291.8767541857</v>
      </c>
      <c r="M50" s="5">
        <f t="shared" ca="1" si="8"/>
        <v>1140072.99</v>
      </c>
      <c r="N50" s="5">
        <f t="shared" ca="1" si="8"/>
        <v>1070108.3340134933</v>
      </c>
      <c r="O50" s="5">
        <f t="shared" ca="1" si="8"/>
        <v>1095503.6588828149</v>
      </c>
      <c r="P50" s="5"/>
    </row>
    <row r="51" spans="1:16" ht="5.0999999999999996" customHeight="1" x14ac:dyDescent="0.2">
      <c r="N51" s="1"/>
      <c r="O51" s="1"/>
      <c r="P51" s="1"/>
    </row>
    <row r="52" spans="1:16" x14ac:dyDescent="0.2">
      <c r="A52" s="21" t="s">
        <v>62</v>
      </c>
      <c r="B52" s="21"/>
      <c r="N52" s="5"/>
      <c r="O52" s="1"/>
      <c r="P52" s="1"/>
    </row>
    <row r="53" spans="1:16" x14ac:dyDescent="0.2">
      <c r="A53" t="s">
        <v>60</v>
      </c>
      <c r="C53" s="5">
        <f ca="1">OFFSET('Rate Class Customer Model'!$Z$15,COLUMN()-COLUMN($C$11),0)</f>
        <v>33032.25</v>
      </c>
      <c r="D53" s="5">
        <f ca="1">OFFSET('Rate Class Customer Model'!$Z$15,COLUMN()-COLUMN($C$11),0)</f>
        <v>34924.75</v>
      </c>
      <c r="E53" s="5">
        <f ca="1">OFFSET('Rate Class Customer Model'!$Z$15,COLUMN()-COLUMN($C$11),0)</f>
        <v>36946</v>
      </c>
      <c r="F53" s="5">
        <f ca="1">OFFSET('Rate Class Customer Model'!$Z$15,COLUMN()-COLUMN($C$11),0)</f>
        <v>38026.5</v>
      </c>
      <c r="G53" s="5">
        <f ca="1">OFFSET('Rate Class Customer Model'!$Z$15,COLUMN()-COLUMN($C$11),0)</f>
        <v>39159.887254901958</v>
      </c>
      <c r="H53" s="5">
        <f ca="1">OFFSET('Rate Class Customer Model'!$Z$15,COLUMN()-COLUMN($C$11),0)</f>
        <v>40084.063725490189</v>
      </c>
      <c r="I53" s="5">
        <f ca="1">OFFSET('Rate Class Customer Model'!$Z$15,COLUMN()-COLUMN($C$11),0)</f>
        <v>41017.073529411769</v>
      </c>
      <c r="J53" s="5">
        <f ca="1">OFFSET('Rate Class Customer Model'!$Z$15,COLUMN()-COLUMN($C$11),0)</f>
        <v>42550.885245901634</v>
      </c>
      <c r="K53" s="5">
        <f ca="1">OFFSET('Rate Class Customer Model'!$Z$15,COLUMN()-COLUMN($C$11),0)</f>
        <v>43786.259803921566</v>
      </c>
      <c r="L53" s="5">
        <f ca="1">OFFSET('Rate Class Customer Model'!$Z$15,COLUMN()-COLUMN($C$11),0)</f>
        <v>44470.436274509797</v>
      </c>
      <c r="M53" s="5">
        <f ca="1">OFFSET('Rate Class Customer Model'!$Z$15,COLUMN()-COLUMN($C$11),0)</f>
        <v>45073.868589743586</v>
      </c>
      <c r="N53" s="5">
        <f ca="1">OFFSET('Rate Class Customer Model'!$Z$15,COLUMN()-COLUMN($C$11)+14,0)</f>
        <v>45882.045231283664</v>
      </c>
      <c r="O53" s="5">
        <f ca="1">OFFSET('Rate Class Customer Model'!$Z$15,COLUMN()-COLUMN($C$11)+14,0)</f>
        <v>46819.968711155292</v>
      </c>
      <c r="P53" s="5"/>
    </row>
    <row r="54" spans="1:16" x14ac:dyDescent="0.2">
      <c r="A54" t="s">
        <v>55</v>
      </c>
      <c r="C54" s="5">
        <f ca="1">OFFSET('Rate Class Energy Model'!$B$6,COLUMN()-COLUMN($C54),0)</f>
        <v>754466669.81999993</v>
      </c>
      <c r="D54" s="5">
        <f ca="1">OFFSET('Rate Class Energy Model'!$B$6,COLUMN()-COLUMN($C54),0)</f>
        <v>783449113.69999993</v>
      </c>
      <c r="E54" s="5">
        <f ca="1">OFFSET('Rate Class Energy Model'!$B$6,COLUMN()-COLUMN($C54),0)</f>
        <v>814644301.5</v>
      </c>
      <c r="F54" s="5">
        <f ca="1">OFFSET('Rate Class Energy Model'!$B$6,COLUMN()-COLUMN($C54),0)</f>
        <v>836470876.05999994</v>
      </c>
      <c r="G54" s="5">
        <f ca="1">OFFSET('Rate Class Energy Model'!$B$6,COLUMN()-COLUMN($C54),0)</f>
        <v>848069009.06884122</v>
      </c>
      <c r="H54" s="5">
        <f ca="1">OFFSET('Rate Class Energy Model'!$B$6,COLUMN()-COLUMN($C54),0)</f>
        <v>873235927.80642521</v>
      </c>
      <c r="I54" s="5">
        <f ca="1">OFFSET('Rate Class Energy Model'!$B$6,COLUMN()-COLUMN($C54),0)</f>
        <v>859270211.18686926</v>
      </c>
      <c r="J54" s="5">
        <f ca="1">OFFSET('Rate Class Energy Model'!$B$6,COLUMN()-COLUMN($C54),0)</f>
        <v>909512508.6674726</v>
      </c>
      <c r="K54" s="5">
        <f ca="1">OFFSET('Rate Class Energy Model'!$B$6,COLUMN()-COLUMN($C54),0)</f>
        <v>907143690.21844316</v>
      </c>
      <c r="L54" s="5">
        <f ca="1">OFFSET('Rate Class Energy Model'!$B$6,COLUMN()-COLUMN($C54),0)</f>
        <v>907891652.55668497</v>
      </c>
      <c r="M54" s="5">
        <f ca="1">OFFSET('Rate Class Energy Model'!$B$6,COLUMN()-COLUMN($C54),0)</f>
        <v>936433540.89398074</v>
      </c>
      <c r="N54" s="5">
        <f ca="1">OFFSET('Rate Class Energy Model'!$B$6,COLUMN()-COLUMN($C54)+5,0)</f>
        <v>892957408.8078382</v>
      </c>
      <c r="O54" s="5">
        <f ca="1">OFFSET('Rate Class Energy Model'!$B$6,COLUMN()-COLUMN($C54)+5,0)</f>
        <v>904459351.41578805</v>
      </c>
      <c r="P54" s="5"/>
    </row>
    <row r="55" spans="1:16" x14ac:dyDescent="0.2">
      <c r="A55" t="s">
        <v>61</v>
      </c>
      <c r="C55" s="5">
        <f ca="1">OFFSET('Rate Class Load Model'!$G$2,COLUMN()-COLUMN($C55),0)</f>
        <v>957921.1166666667</v>
      </c>
      <c r="D55" s="5">
        <f ca="1">OFFSET('Rate Class Load Model'!$G$2,COLUMN()-COLUMN($C55),0)</f>
        <v>1007362.0116666667</v>
      </c>
      <c r="E55" s="5">
        <f ca="1">OFFSET('Rate Class Load Model'!$G$2,COLUMN()-COLUMN($C55),0)</f>
        <v>1041359.1837222221</v>
      </c>
      <c r="F55" s="5">
        <f ca="1">OFFSET('Rate Class Load Model'!$G$2,COLUMN()-COLUMN($C55),0)</f>
        <v>1053712.8527777777</v>
      </c>
      <c r="G55" s="5">
        <f ca="1">OFFSET('Rate Class Load Model'!$G$2,COLUMN()-COLUMN($C55),0)</f>
        <v>1083293.4160235922</v>
      </c>
      <c r="H55" s="5">
        <f ca="1">OFFSET('Rate Class Load Model'!$G$2,COLUMN()-COLUMN($C55),0)</f>
        <v>1111847.8481697107</v>
      </c>
      <c r="I55" s="5">
        <f ca="1">OFFSET('Rate Class Load Model'!$G$2,COLUMN()-COLUMN($C55),0)</f>
        <v>1143240.5703158295</v>
      </c>
      <c r="J55" s="5">
        <f ca="1">OFFSET('Rate Class Load Model'!$G$2,COLUMN()-COLUMN($C55),0)</f>
        <v>1179259.3724619483</v>
      </c>
      <c r="K55" s="5">
        <f ca="1">OFFSET('Rate Class Load Model'!$G$2,COLUMN()-COLUMN($C55),0)</f>
        <v>1189173.3746080669</v>
      </c>
      <c r="L55" s="5">
        <f ca="1">OFFSET('Rate Class Load Model'!$G$2,COLUMN()-COLUMN($C55),0)</f>
        <v>1129291.8767541857</v>
      </c>
      <c r="M55" s="5">
        <f ca="1">OFFSET('Rate Class Load Model'!$G$2,COLUMN()-COLUMN($C55),0)</f>
        <v>1140072.99</v>
      </c>
      <c r="N55" s="5">
        <f ca="1">OFFSET('Rate Class Load Model'!$G$2,COLUMN()-COLUMN($C55)+4,0)</f>
        <v>1070108.3340134933</v>
      </c>
      <c r="O55" s="5">
        <f ca="1">OFFSET('Rate Class Load Model'!$G$2,COLUMN()-COLUMN($C55)+4,0)</f>
        <v>1095503.6588828149</v>
      </c>
      <c r="P55" s="5"/>
    </row>
    <row r="56" spans="1:16" ht="5.0999999999999996" customHeight="1" x14ac:dyDescent="0.2">
      <c r="N56" s="1"/>
      <c r="O56" s="1"/>
      <c r="P56" s="1"/>
    </row>
    <row r="57" spans="1:16" ht="12.75" customHeight="1" x14ac:dyDescent="0.2">
      <c r="N57" s="1"/>
      <c r="O57" s="1"/>
      <c r="P57" s="1"/>
    </row>
    <row r="58" spans="1:16" x14ac:dyDescent="0.2">
      <c r="A58" s="21" t="s">
        <v>63</v>
      </c>
      <c r="B58" s="21"/>
      <c r="E58" s="5"/>
      <c r="F58" s="5"/>
      <c r="G58" s="5"/>
      <c r="H58" s="5"/>
      <c r="I58" s="5"/>
      <c r="J58" s="5"/>
      <c r="K58" s="5"/>
      <c r="L58" s="5"/>
      <c r="M58" s="5"/>
      <c r="N58" s="5"/>
      <c r="O58" s="1"/>
    </row>
    <row r="59" spans="1:16" x14ac:dyDescent="0.2">
      <c r="A59" t="s">
        <v>60</v>
      </c>
      <c r="C59" s="5">
        <f ca="1">C48-C53</f>
        <v>0</v>
      </c>
      <c r="D59" s="5">
        <f ca="1">D48-D53</f>
        <v>0</v>
      </c>
      <c r="E59" s="5">
        <f ca="1">E48-E53</f>
        <v>0</v>
      </c>
      <c r="F59" s="5">
        <f t="shared" ref="F59:K59" ca="1" si="9">F48-F53</f>
        <v>0</v>
      </c>
      <c r="G59" s="5">
        <f t="shared" ca="1" si="9"/>
        <v>0</v>
      </c>
      <c r="H59" s="5">
        <f t="shared" ca="1" si="9"/>
        <v>0</v>
      </c>
      <c r="I59" s="5">
        <f t="shared" ca="1" si="9"/>
        <v>0</v>
      </c>
      <c r="J59" s="5">
        <f t="shared" ca="1" si="9"/>
        <v>0</v>
      </c>
      <c r="K59" s="5">
        <f t="shared" ca="1" si="9"/>
        <v>0</v>
      </c>
      <c r="L59" s="5">
        <f ca="1">L48-L53</f>
        <v>0</v>
      </c>
      <c r="M59" s="5">
        <f ca="1">M48-M53</f>
        <v>0</v>
      </c>
      <c r="N59" s="5">
        <f ca="1">N48-N53</f>
        <v>0</v>
      </c>
      <c r="O59" s="5">
        <f ca="1">O48-O53</f>
        <v>0</v>
      </c>
    </row>
    <row r="60" spans="1:16" x14ac:dyDescent="0.2">
      <c r="A60" t="s">
        <v>55</v>
      </c>
      <c r="C60" s="5">
        <f ca="1">C49-C54</f>
        <v>0</v>
      </c>
      <c r="D60" s="5">
        <f ca="1">D49-D54</f>
        <v>0</v>
      </c>
      <c r="E60" s="5">
        <f t="shared" ref="E60:K61" ca="1" si="10">E49-E54</f>
        <v>0</v>
      </c>
      <c r="F60" s="5">
        <f t="shared" ca="1" si="10"/>
        <v>0</v>
      </c>
      <c r="G60" s="5">
        <f t="shared" ca="1" si="10"/>
        <v>0</v>
      </c>
      <c r="H60" s="5">
        <f t="shared" ca="1" si="10"/>
        <v>0</v>
      </c>
      <c r="I60" s="5">
        <f t="shared" ca="1" si="10"/>
        <v>0</v>
      </c>
      <c r="J60" s="5">
        <f t="shared" ca="1" si="10"/>
        <v>0</v>
      </c>
      <c r="K60" s="5">
        <f t="shared" ca="1" si="10"/>
        <v>0</v>
      </c>
      <c r="L60" s="5">
        <f t="shared" ref="L60:O60" ca="1" si="11">L49-L54</f>
        <v>0</v>
      </c>
      <c r="M60" s="5">
        <f t="shared" ca="1" si="11"/>
        <v>0</v>
      </c>
      <c r="N60" s="5">
        <f t="shared" ca="1" si="11"/>
        <v>0</v>
      </c>
      <c r="O60" s="5">
        <f t="shared" ca="1" si="11"/>
        <v>0</v>
      </c>
    </row>
    <row r="61" spans="1:16" x14ac:dyDescent="0.2">
      <c r="A61" t="s">
        <v>61</v>
      </c>
      <c r="C61" s="5">
        <f ca="1">C50-C55</f>
        <v>0</v>
      </c>
      <c r="D61" s="5">
        <f ca="1">D50-D55</f>
        <v>0</v>
      </c>
      <c r="E61" s="5">
        <f t="shared" ca="1" si="10"/>
        <v>0</v>
      </c>
      <c r="F61" s="5">
        <f t="shared" ca="1" si="10"/>
        <v>0</v>
      </c>
      <c r="G61" s="5">
        <f t="shared" ca="1" si="10"/>
        <v>0</v>
      </c>
      <c r="H61" s="5">
        <f t="shared" ca="1" si="10"/>
        <v>0</v>
      </c>
      <c r="I61" s="5">
        <f t="shared" ca="1" si="10"/>
        <v>0</v>
      </c>
      <c r="J61" s="5">
        <f t="shared" ca="1" si="10"/>
        <v>0</v>
      </c>
      <c r="K61" s="5">
        <f t="shared" ca="1" si="10"/>
        <v>0</v>
      </c>
      <c r="L61" s="5">
        <f t="shared" ref="L61:O61" ca="1" si="12">L50-L55</f>
        <v>0</v>
      </c>
      <c r="M61" s="5">
        <f t="shared" ca="1" si="12"/>
        <v>0</v>
      </c>
      <c r="N61" s="5">
        <f t="shared" ca="1" si="12"/>
        <v>0</v>
      </c>
      <c r="O61" s="5">
        <f t="shared" ca="1" si="12"/>
        <v>0</v>
      </c>
    </row>
    <row r="62" spans="1:16" x14ac:dyDescent="0.2">
      <c r="N62" s="1"/>
      <c r="O62" s="1"/>
    </row>
    <row r="63" spans="1:16" x14ac:dyDescent="0.2">
      <c r="A63" t="s">
        <v>64</v>
      </c>
      <c r="C63" s="28">
        <f t="shared" ref="C63:O63" ca="1" si="13">+C11+C15+C19+C24+C29</f>
        <v>29733.75</v>
      </c>
      <c r="D63" s="28">
        <f t="shared" ca="1" si="13"/>
        <v>31524.75</v>
      </c>
      <c r="E63" s="28">
        <f t="shared" ca="1" si="13"/>
        <v>33475</v>
      </c>
      <c r="F63" s="28">
        <f ca="1">+F11+F15+F19+F24+F29</f>
        <v>34511</v>
      </c>
      <c r="G63" s="28">
        <f t="shared" ca="1" si="13"/>
        <v>35575.583333333336</v>
      </c>
      <c r="H63" s="28">
        <f t="shared" ca="1" si="13"/>
        <v>36449.999999999993</v>
      </c>
      <c r="I63" s="28">
        <f t="shared" ca="1" si="13"/>
        <v>37326.833333333336</v>
      </c>
      <c r="J63" s="28">
        <f t="shared" ca="1" si="13"/>
        <v>38828.916666666657</v>
      </c>
      <c r="K63" s="28">
        <f t="shared" ca="1" si="13"/>
        <v>40052.166666666664</v>
      </c>
      <c r="L63" s="28">
        <f ca="1">+L11+L15+L19+L24+L29</f>
        <v>40801.166666666664</v>
      </c>
      <c r="M63" s="28">
        <f t="shared" ca="1" si="13"/>
        <v>41728.5</v>
      </c>
      <c r="N63" s="28">
        <f t="shared" ca="1" si="13"/>
        <v>42523.684463324047</v>
      </c>
      <c r="O63" s="28">
        <f t="shared" ca="1" si="13"/>
        <v>43446.501261577847</v>
      </c>
    </row>
    <row r="64" spans="1:16" x14ac:dyDescent="0.2">
      <c r="F64" s="28">
        <f ca="1">F63+F44+F39+3-35</f>
        <v>34923</v>
      </c>
      <c r="G64" s="28">
        <f t="shared" ref="G64:K64" ca="1" si="14">G63+G44+G39+3-35</f>
        <v>36000.220588235294</v>
      </c>
      <c r="H64" s="28">
        <f t="shared" ca="1" si="14"/>
        <v>36887.063725490189</v>
      </c>
      <c r="I64" s="28">
        <f t="shared" ca="1" si="14"/>
        <v>37754.240196078434</v>
      </c>
      <c r="J64" s="28">
        <f t="shared" ca="1" si="14"/>
        <v>39256.999999999993</v>
      </c>
      <c r="K64" s="28">
        <f t="shared" ca="1" si="14"/>
        <v>40475.009803921566</v>
      </c>
      <c r="L64" s="28">
        <f ca="1">L63+L44+L39+3-35</f>
        <v>41220.799019607839</v>
      </c>
      <c r="M64" s="28">
        <f ca="1">M63+M44+M39+3-36</f>
        <v>42148.916666666664</v>
      </c>
      <c r="N64" s="28">
        <f ca="1">N63+N44+N39+3-37</f>
        <v>42943.361996391825</v>
      </c>
      <c r="O64" s="28">
        <f ca="1">O63+O44+O39+3-37</f>
        <v>43866.557118788682</v>
      </c>
    </row>
  </sheetData>
  <phoneticPr fontId="0" type="noConversion"/>
  <pageMargins left="0.23622047244094491" right="0.23622047244094491" top="0.74803149606299213" bottom="0.74803149606299213" header="0.31496062992125984" footer="0.31496062992125984"/>
  <pageSetup scale="55" orientation="landscape" r:id="rId1"/>
  <headerFooter alignWithMargins="0">
    <oddHeader>&amp;L&amp;D&amp;F</oddHeader>
    <oddFooter>&amp;L&amp;Z&amp;F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1C804-B051-4264-8890-363D190218B4}">
  <sheetPr>
    <tabColor theme="3" tint="0.79998168889431442"/>
  </sheetPr>
  <dimension ref="A1:AW195"/>
  <sheetViews>
    <sheetView zoomScale="80" zoomScaleNormal="80" workbookViewId="0">
      <pane xSplit="1" ySplit="2" topLeftCell="H147" activePane="bottomRight" state="frozen"/>
      <selection activeCell="AE64" sqref="AE64"/>
      <selection pane="topRight" activeCell="AE64" sqref="AE64"/>
      <selection pane="bottomLeft" activeCell="AE64" sqref="AE64"/>
      <selection pane="bottomRight" activeCell="AE64" sqref="AE64"/>
    </sheetView>
  </sheetViews>
  <sheetFormatPr defaultRowHeight="12.75" x14ac:dyDescent="0.2"/>
  <cols>
    <col min="1" max="3" width="11.85546875" customWidth="1"/>
    <col min="4" max="4" width="14.85546875" customWidth="1"/>
    <col min="5" max="5" width="11.85546875" customWidth="1"/>
    <col min="6" max="6" width="13" style="5" bestFit="1" customWidth="1"/>
    <col min="7" max="7" width="10.85546875" style="1" customWidth="1"/>
    <col min="8" max="10" width="11.85546875" style="1" customWidth="1"/>
    <col min="11" max="11" width="8" style="1" customWidth="1"/>
    <col min="12" max="12" width="13.5703125" style="55" bestFit="1" customWidth="1"/>
    <col min="13" max="13" width="10.140625" style="1" customWidth="1"/>
    <col min="14" max="14" width="14.7109375" style="1" customWidth="1"/>
    <col min="15" max="15" width="16" style="1" bestFit="1" customWidth="1"/>
    <col min="16" max="16" width="16" style="1" customWidth="1"/>
    <col min="17" max="17" width="15.140625" style="1" bestFit="1" customWidth="1"/>
    <col min="18" max="18" width="14.42578125" style="1" customWidth="1"/>
    <col min="19" max="19" width="22.42578125" bestFit="1" customWidth="1"/>
    <col min="20" max="20" width="13" customWidth="1"/>
    <col min="21" max="21" width="18.85546875" bestFit="1" customWidth="1"/>
    <col min="22" max="22" width="13.7109375" bestFit="1" customWidth="1"/>
    <col min="23" max="23" width="13" bestFit="1" customWidth="1"/>
    <col min="24" max="24" width="14.85546875" bestFit="1" customWidth="1"/>
    <col min="25" max="27" width="13.7109375" bestFit="1" customWidth="1"/>
    <col min="28" max="29" width="13" bestFit="1" customWidth="1"/>
    <col min="30" max="30" width="12.28515625" bestFit="1" customWidth="1"/>
    <col min="31" max="32" width="12.28515625" style="5" bestFit="1" customWidth="1"/>
    <col min="33" max="39" width="12.7109375" style="5" customWidth="1"/>
    <col min="40" max="49" width="12.7109375" customWidth="1"/>
  </cols>
  <sheetData>
    <row r="1" spans="1:45" ht="20.25" customHeight="1" x14ac:dyDescent="0.25">
      <c r="A1" s="134" t="s">
        <v>129</v>
      </c>
      <c r="B1" s="134"/>
      <c r="C1" s="134"/>
      <c r="D1" s="59"/>
      <c r="E1" s="59"/>
      <c r="F1" s="59"/>
      <c r="G1" s="60"/>
      <c r="L1" s="1"/>
    </row>
    <row r="2" spans="1:45" ht="42" customHeight="1" x14ac:dyDescent="0.2">
      <c r="D2" s="88" t="s">
        <v>0</v>
      </c>
      <c r="E2" s="88" t="s">
        <v>1</v>
      </c>
      <c r="F2" s="88" t="s">
        <v>2</v>
      </c>
      <c r="G2" s="78" t="s">
        <v>15</v>
      </c>
      <c r="H2" s="78" t="s">
        <v>16</v>
      </c>
      <c r="I2" s="78" t="str">
        <f>G2&amp;"Norm"</f>
        <v>HDD14Norm</v>
      </c>
      <c r="J2" s="78" t="str">
        <f>H2&amp;"Norm"</f>
        <v>CDD14Norm</v>
      </c>
      <c r="K2" s="7" t="s">
        <v>85</v>
      </c>
      <c r="L2" s="7" t="s">
        <v>75</v>
      </c>
      <c r="M2" s="7" t="s">
        <v>9</v>
      </c>
      <c r="N2" s="80" t="s">
        <v>12</v>
      </c>
      <c r="O2" s="7" t="s">
        <v>76</v>
      </c>
      <c r="P2" s="7" t="s">
        <v>84</v>
      </c>
      <c r="Q2" s="7" t="s">
        <v>78</v>
      </c>
      <c r="R2" s="7" t="s">
        <v>79</v>
      </c>
      <c r="AE2" s="6"/>
      <c r="AF2" s="6"/>
      <c r="AG2" s="6"/>
    </row>
    <row r="3" spans="1:45" ht="12.75" customHeight="1" x14ac:dyDescent="0.2">
      <c r="A3" s="2">
        <v>40544</v>
      </c>
      <c r="B3">
        <f>YEAR(A3)</f>
        <v>2011</v>
      </c>
      <c r="C3">
        <f>MONTH(A3)</f>
        <v>1</v>
      </c>
      <c r="D3" s="88">
        <v>6855369.9400000023</v>
      </c>
      <c r="E3" s="88">
        <v>9467.620679902544</v>
      </c>
      <c r="F3" s="88">
        <v>6864837.5606799051</v>
      </c>
      <c r="G3" s="78">
        <v>651.30000000000007</v>
      </c>
      <c r="H3" s="78">
        <v>0</v>
      </c>
      <c r="I3" s="78">
        <f t="shared" ref="I3:J3" si="0">I15</f>
        <v>563.5</v>
      </c>
      <c r="J3" s="78">
        <f t="shared" si="0"/>
        <v>0</v>
      </c>
      <c r="K3" s="30">
        <v>0</v>
      </c>
      <c r="L3" s="30">
        <v>2283</v>
      </c>
      <c r="M3" s="30">
        <v>1</v>
      </c>
      <c r="N3" s="81">
        <v>0</v>
      </c>
      <c r="O3" s="30">
        <f>F3+(I3-G3)*$T$20+(J3-H3)*$T$21</f>
        <v>6562806.8379370123</v>
      </c>
      <c r="P3" s="30">
        <f t="shared" ref="P3:P34" si="1">O3-E3</f>
        <v>6553339.2172571095</v>
      </c>
      <c r="Q3" s="31">
        <f t="shared" ref="Q3:Q34" si="2">+O3-F3</f>
        <v>-302030.7227428928</v>
      </c>
      <c r="R3" s="48">
        <f t="shared" ref="R3:R34" si="3">ABS(Q3/F3)</f>
        <v>4.3996776336391444E-2</v>
      </c>
      <c r="AE3"/>
      <c r="AF3" s="37"/>
      <c r="AG3" s="62"/>
      <c r="AH3" s="49"/>
      <c r="AI3" s="70"/>
      <c r="AJ3" s="70"/>
      <c r="AK3" s="103"/>
      <c r="AL3" s="70"/>
      <c r="AM3" s="70"/>
      <c r="AN3" s="98"/>
      <c r="AO3" s="103"/>
      <c r="AP3" s="64"/>
      <c r="AQ3" s="64"/>
      <c r="AR3" s="5"/>
    </row>
    <row r="4" spans="1:45" x14ac:dyDescent="0.2">
      <c r="A4" s="2">
        <v>40575</v>
      </c>
      <c r="B4">
        <f t="shared" ref="B4:B67" si="4">YEAR(A4)</f>
        <v>2011</v>
      </c>
      <c r="C4">
        <f t="shared" ref="C4:C67" si="5">MONTH(A4)</f>
        <v>2</v>
      </c>
      <c r="D4" s="88">
        <v>7477521.3800000027</v>
      </c>
      <c r="E4" s="88">
        <v>9467.620679902544</v>
      </c>
      <c r="F4" s="88">
        <v>7486989.0006799055</v>
      </c>
      <c r="G4" s="78">
        <v>542.20000000000016</v>
      </c>
      <c r="H4" s="78">
        <v>0</v>
      </c>
      <c r="I4" s="78">
        <f t="shared" ref="I4:J4" si="6">I16</f>
        <v>516.6099999999999</v>
      </c>
      <c r="J4" s="78">
        <f t="shared" si="6"/>
        <v>0</v>
      </c>
      <c r="K4" s="30">
        <v>0</v>
      </c>
      <c r="L4" s="30">
        <v>2302</v>
      </c>
      <c r="M4" s="30">
        <v>2</v>
      </c>
      <c r="N4" s="81">
        <v>0</v>
      </c>
      <c r="O4" s="30">
        <f t="shared" ref="O4:O67" si="7">F4+(I4-G4)*$T$20+(J4-H4)*$T$21</f>
        <v>7398959.7729465263</v>
      </c>
      <c r="P4" s="30">
        <f t="shared" si="1"/>
        <v>7389492.1522666235</v>
      </c>
      <c r="Q4" s="31">
        <f t="shared" si="2"/>
        <v>-88029.22773337923</v>
      </c>
      <c r="R4" s="48">
        <f t="shared" si="3"/>
        <v>1.1757627495563992E-2</v>
      </c>
      <c r="AE4"/>
      <c r="AF4" s="37"/>
      <c r="AG4" s="49"/>
      <c r="AH4" s="70"/>
      <c r="AI4" s="70"/>
      <c r="AJ4" s="70"/>
      <c r="AK4" s="98"/>
      <c r="AL4" s="107"/>
      <c r="AM4" s="70"/>
      <c r="AN4" s="98"/>
      <c r="AO4" s="98"/>
      <c r="AP4" s="64"/>
      <c r="AQ4" s="64"/>
      <c r="AR4" s="5"/>
    </row>
    <row r="5" spans="1:45" x14ac:dyDescent="0.2">
      <c r="A5" s="2">
        <v>40603</v>
      </c>
      <c r="B5">
        <f t="shared" si="4"/>
        <v>2011</v>
      </c>
      <c r="C5">
        <f t="shared" si="5"/>
        <v>3</v>
      </c>
      <c r="D5" s="88">
        <v>7152568.5900000026</v>
      </c>
      <c r="E5" s="88">
        <v>9467.620679902544</v>
      </c>
      <c r="F5" s="88">
        <v>7162036.2106799055</v>
      </c>
      <c r="G5" s="78">
        <v>448.8</v>
      </c>
      <c r="H5" s="78">
        <v>0</v>
      </c>
      <c r="I5" s="78">
        <f t="shared" ref="I5:J5" si="8">I17</f>
        <v>409.90999999999997</v>
      </c>
      <c r="J5" s="78">
        <f t="shared" si="8"/>
        <v>1.1599999999999999</v>
      </c>
      <c r="K5" s="30">
        <v>0</v>
      </c>
      <c r="L5" s="30">
        <v>2305</v>
      </c>
      <c r="M5" s="30">
        <v>3</v>
      </c>
      <c r="N5" s="81">
        <v>0</v>
      </c>
      <c r="O5" s="30">
        <f t="shared" si="7"/>
        <v>7034014.1929901084</v>
      </c>
      <c r="P5" s="30">
        <f t="shared" si="1"/>
        <v>7024546.5723102055</v>
      </c>
      <c r="Q5" s="31">
        <f t="shared" si="2"/>
        <v>-128022.0176897971</v>
      </c>
      <c r="R5" s="48">
        <f t="shared" si="3"/>
        <v>1.7875086626746296E-2</v>
      </c>
      <c r="AE5"/>
      <c r="AF5" s="49"/>
      <c r="AG5" s="49"/>
      <c r="AH5" s="70"/>
      <c r="AI5" s="70"/>
      <c r="AJ5" s="70"/>
      <c r="AK5" s="98"/>
      <c r="AL5" s="107"/>
      <c r="AM5" s="70"/>
      <c r="AN5" s="98"/>
      <c r="AO5" s="98"/>
      <c r="AP5" s="63"/>
      <c r="AQ5" s="64"/>
      <c r="AR5" s="5"/>
    </row>
    <row r="6" spans="1:45" ht="12.75" customHeight="1" x14ac:dyDescent="0.2">
      <c r="A6" s="2">
        <v>40634</v>
      </c>
      <c r="B6">
        <f t="shared" si="4"/>
        <v>2011</v>
      </c>
      <c r="C6">
        <f t="shared" si="5"/>
        <v>4</v>
      </c>
      <c r="D6" s="88">
        <v>6467080.2400000058</v>
      </c>
      <c r="E6" s="88">
        <v>9467.620679902544</v>
      </c>
      <c r="F6" s="88">
        <v>6476547.8606799087</v>
      </c>
      <c r="G6" s="78">
        <v>213.6</v>
      </c>
      <c r="H6" s="78">
        <v>1.3000000000000007</v>
      </c>
      <c r="I6" s="78">
        <f t="shared" ref="I6:J6" si="9">I18</f>
        <v>227.5</v>
      </c>
      <c r="J6" s="78">
        <f t="shared" si="9"/>
        <v>2.3099999999999996</v>
      </c>
      <c r="K6" s="30">
        <v>0</v>
      </c>
      <c r="L6" s="30">
        <v>2308</v>
      </c>
      <c r="M6" s="30">
        <v>4</v>
      </c>
      <c r="N6" s="81">
        <v>0</v>
      </c>
      <c r="O6" s="30">
        <f t="shared" si="7"/>
        <v>6529377.9746178985</v>
      </c>
      <c r="P6" s="30">
        <f t="shared" si="1"/>
        <v>6519910.3539379956</v>
      </c>
      <c r="Q6" s="31">
        <f t="shared" si="2"/>
        <v>52830.113937989809</v>
      </c>
      <c r="R6" s="48">
        <f t="shared" si="3"/>
        <v>8.1571409760945856E-3</v>
      </c>
      <c r="AE6"/>
      <c r="AG6" s="70"/>
      <c r="AH6" s="65"/>
      <c r="AJ6" s="37"/>
      <c r="AL6" s="108"/>
      <c r="AM6" s="108"/>
      <c r="AN6" s="5"/>
      <c r="AO6" s="5"/>
      <c r="AP6" s="5"/>
      <c r="AQ6" s="5"/>
      <c r="AR6" s="5"/>
      <c r="AS6" s="27"/>
    </row>
    <row r="7" spans="1:45" x14ac:dyDescent="0.2">
      <c r="A7" s="2">
        <v>40664</v>
      </c>
      <c r="B7">
        <f t="shared" si="4"/>
        <v>2011</v>
      </c>
      <c r="C7">
        <f t="shared" si="5"/>
        <v>5</v>
      </c>
      <c r="D7" s="88">
        <v>6394046.8700000048</v>
      </c>
      <c r="E7" s="88">
        <v>9467.620679902544</v>
      </c>
      <c r="F7" s="88">
        <v>6403514.4906799076</v>
      </c>
      <c r="G7" s="78">
        <v>50.8</v>
      </c>
      <c r="H7" s="78">
        <v>53.7</v>
      </c>
      <c r="I7" s="78">
        <f t="shared" ref="I7:J7" si="10">I19</f>
        <v>59.269999999999982</v>
      </c>
      <c r="J7" s="78">
        <f t="shared" si="10"/>
        <v>70.86</v>
      </c>
      <c r="K7" s="30">
        <v>0</v>
      </c>
      <c r="L7" s="30">
        <v>2306</v>
      </c>
      <c r="M7" s="30">
        <v>5</v>
      </c>
      <c r="N7" s="81">
        <v>0</v>
      </c>
      <c r="O7" s="30">
        <f t="shared" si="7"/>
        <v>6517844.8952533836</v>
      </c>
      <c r="P7" s="30">
        <f t="shared" si="1"/>
        <v>6508377.2745734807</v>
      </c>
      <c r="Q7" s="31">
        <f t="shared" si="2"/>
        <v>114330.40457347594</v>
      </c>
      <c r="R7" s="48">
        <f t="shared" si="3"/>
        <v>1.7854321207499392E-2</v>
      </c>
      <c r="AE7"/>
      <c r="AG7" s="70"/>
      <c r="AH7" s="65"/>
      <c r="AI7" s="37"/>
      <c r="AJ7" s="37"/>
      <c r="AL7" s="108"/>
      <c r="AM7" s="108"/>
      <c r="AN7" s="5"/>
      <c r="AO7" s="5"/>
      <c r="AP7" s="5"/>
      <c r="AQ7" s="5"/>
      <c r="AR7" s="5"/>
      <c r="AS7" s="27"/>
    </row>
    <row r="8" spans="1:45" x14ac:dyDescent="0.2">
      <c r="A8" s="2">
        <v>40695</v>
      </c>
      <c r="B8">
        <f t="shared" si="4"/>
        <v>2011</v>
      </c>
      <c r="C8">
        <f t="shared" si="5"/>
        <v>6</v>
      </c>
      <c r="D8" s="88">
        <v>6868428.5200000014</v>
      </c>
      <c r="E8" s="88">
        <v>9467.620679902544</v>
      </c>
      <c r="F8" s="88">
        <v>6877896.1406799043</v>
      </c>
      <c r="G8" s="78">
        <v>0</v>
      </c>
      <c r="H8" s="78">
        <v>153.20000000000002</v>
      </c>
      <c r="I8" s="78">
        <f t="shared" ref="I8:J8" si="11">I20</f>
        <v>1.85</v>
      </c>
      <c r="J8" s="78">
        <f t="shared" si="11"/>
        <v>171.74</v>
      </c>
      <c r="K8" s="30">
        <v>0</v>
      </c>
      <c r="L8" s="30">
        <v>2316</v>
      </c>
      <c r="M8" s="30">
        <v>6</v>
      </c>
      <c r="N8" s="81">
        <v>0</v>
      </c>
      <c r="O8" s="30">
        <f t="shared" si="7"/>
        <v>6976305.0854000328</v>
      </c>
      <c r="P8" s="30">
        <f t="shared" si="1"/>
        <v>6966837.46472013</v>
      </c>
      <c r="Q8" s="31">
        <f t="shared" si="2"/>
        <v>98408.944720128551</v>
      </c>
      <c r="R8" s="48">
        <f t="shared" si="3"/>
        <v>1.4308000979846212E-2</v>
      </c>
      <c r="AE8"/>
      <c r="AG8" s="70"/>
      <c r="AH8" s="65"/>
      <c r="AI8" s="37"/>
      <c r="AJ8" s="37"/>
      <c r="AL8" s="108"/>
      <c r="AM8" s="108"/>
      <c r="AN8" s="5"/>
      <c r="AO8" s="5"/>
      <c r="AP8" s="5"/>
      <c r="AQ8" s="5"/>
      <c r="AR8" s="5"/>
      <c r="AS8" s="27"/>
    </row>
    <row r="9" spans="1:45" x14ac:dyDescent="0.2">
      <c r="A9" s="2">
        <v>40725</v>
      </c>
      <c r="B9">
        <f t="shared" si="4"/>
        <v>2011</v>
      </c>
      <c r="C9">
        <f t="shared" si="5"/>
        <v>7</v>
      </c>
      <c r="D9" s="88">
        <v>7225446.5600000024</v>
      </c>
      <c r="E9" s="88">
        <v>9467.620679902544</v>
      </c>
      <c r="F9" s="88">
        <v>7234914.1806799052</v>
      </c>
      <c r="G9" s="78">
        <v>0</v>
      </c>
      <c r="H9" s="78">
        <v>322.29999999999995</v>
      </c>
      <c r="I9" s="78">
        <f t="shared" ref="I9:J9" si="12">I21</f>
        <v>0</v>
      </c>
      <c r="J9" s="78">
        <f t="shared" si="12"/>
        <v>269.41000000000003</v>
      </c>
      <c r="K9" s="30">
        <v>0</v>
      </c>
      <c r="L9" s="30">
        <v>2335</v>
      </c>
      <c r="M9" s="30">
        <v>7</v>
      </c>
      <c r="N9" s="81">
        <v>0</v>
      </c>
      <c r="O9" s="30">
        <f t="shared" si="7"/>
        <v>6972332.8133846167</v>
      </c>
      <c r="P9" s="30">
        <f t="shared" si="1"/>
        <v>6962865.1927047139</v>
      </c>
      <c r="Q9" s="31">
        <f t="shared" si="2"/>
        <v>-262581.36729528848</v>
      </c>
      <c r="R9" s="48">
        <f t="shared" si="3"/>
        <v>3.6293639528784602E-2</v>
      </c>
      <c r="AE9"/>
      <c r="AG9" s="70"/>
      <c r="AH9" s="65"/>
      <c r="AI9" s="37"/>
      <c r="AJ9" s="37"/>
      <c r="AL9" s="108"/>
      <c r="AM9" s="108"/>
      <c r="AN9" s="5"/>
      <c r="AO9" s="5"/>
      <c r="AP9" s="5"/>
      <c r="AQ9" s="5"/>
      <c r="AR9" s="5"/>
      <c r="AS9" s="27"/>
    </row>
    <row r="10" spans="1:45" x14ac:dyDescent="0.2">
      <c r="A10" s="2">
        <v>40756</v>
      </c>
      <c r="B10">
        <f t="shared" si="4"/>
        <v>2011</v>
      </c>
      <c r="C10">
        <f t="shared" si="5"/>
        <v>8</v>
      </c>
      <c r="D10" s="88">
        <v>7335384.9100000048</v>
      </c>
      <c r="E10" s="88">
        <v>9467.620679902544</v>
      </c>
      <c r="F10" s="88">
        <v>7344852.5306799076</v>
      </c>
      <c r="G10" s="78">
        <v>0</v>
      </c>
      <c r="H10" s="78">
        <v>246.19999999999996</v>
      </c>
      <c r="I10" s="78">
        <f t="shared" ref="I10:J10" si="13">I22</f>
        <v>0</v>
      </c>
      <c r="J10" s="78">
        <f t="shared" si="13"/>
        <v>242.46000000000004</v>
      </c>
      <c r="K10" s="30">
        <v>0</v>
      </c>
      <c r="L10" s="30">
        <v>2354</v>
      </c>
      <c r="M10" s="30">
        <v>8</v>
      </c>
      <c r="N10" s="81">
        <v>0</v>
      </c>
      <c r="O10" s="30">
        <f t="shared" si="7"/>
        <v>7326284.6669309121</v>
      </c>
      <c r="P10" s="30">
        <f t="shared" si="1"/>
        <v>7316817.0462510092</v>
      </c>
      <c r="Q10" s="31">
        <f t="shared" si="2"/>
        <v>-18567.863748995587</v>
      </c>
      <c r="R10" s="48">
        <f t="shared" si="3"/>
        <v>2.5280104224606908E-3</v>
      </c>
      <c r="AE10"/>
      <c r="AG10" s="70"/>
      <c r="AH10" s="65"/>
      <c r="AI10" s="37"/>
      <c r="AJ10" s="37"/>
      <c r="AL10" s="108"/>
      <c r="AM10" s="108"/>
      <c r="AN10" s="5"/>
      <c r="AO10" s="5"/>
      <c r="AP10" s="5"/>
      <c r="AQ10" s="5"/>
      <c r="AR10" s="5"/>
      <c r="AS10" s="27"/>
    </row>
    <row r="11" spans="1:45" x14ac:dyDescent="0.2">
      <c r="A11" s="2">
        <v>40787</v>
      </c>
      <c r="B11">
        <f t="shared" si="4"/>
        <v>2011</v>
      </c>
      <c r="C11">
        <f t="shared" si="5"/>
        <v>9</v>
      </c>
      <c r="D11" s="88">
        <v>6365381.4099999992</v>
      </c>
      <c r="E11" s="88">
        <v>9467.620679902544</v>
      </c>
      <c r="F11" s="88">
        <v>6374849.0306799021</v>
      </c>
      <c r="G11" s="78">
        <v>9</v>
      </c>
      <c r="H11" s="78">
        <v>120.3</v>
      </c>
      <c r="I11" s="78">
        <f t="shared" ref="I11:J11" si="14">I23</f>
        <v>10.66</v>
      </c>
      <c r="J11" s="78">
        <f t="shared" si="14"/>
        <v>124.26999999999998</v>
      </c>
      <c r="K11" s="30">
        <v>1</v>
      </c>
      <c r="L11" s="30">
        <v>2360</v>
      </c>
      <c r="M11" s="30">
        <v>9</v>
      </c>
      <c r="N11" s="81">
        <v>0</v>
      </c>
      <c r="O11" s="30">
        <f t="shared" si="7"/>
        <v>6400269.1442541694</v>
      </c>
      <c r="P11" s="30">
        <f t="shared" si="1"/>
        <v>6390801.5235742666</v>
      </c>
      <c r="Q11" s="31">
        <f t="shared" si="2"/>
        <v>25420.113574267365</v>
      </c>
      <c r="R11" s="48">
        <f t="shared" si="3"/>
        <v>3.9875632272904525E-3</v>
      </c>
      <c r="AE11"/>
      <c r="AG11" s="70"/>
      <c r="AH11" s="65"/>
      <c r="AI11" s="37"/>
      <c r="AJ11" s="37"/>
      <c r="AL11" s="108"/>
      <c r="AM11" s="108"/>
      <c r="AN11" s="5"/>
      <c r="AO11" s="5"/>
      <c r="AP11" s="5"/>
      <c r="AQ11" s="5"/>
      <c r="AR11" s="5"/>
      <c r="AS11" s="27"/>
    </row>
    <row r="12" spans="1:45" ht="13.5" customHeight="1" x14ac:dyDescent="0.2">
      <c r="A12" s="2">
        <v>40817</v>
      </c>
      <c r="B12">
        <f t="shared" si="4"/>
        <v>2011</v>
      </c>
      <c r="C12">
        <f t="shared" si="5"/>
        <v>10</v>
      </c>
      <c r="D12" s="88">
        <v>6187538.6099999947</v>
      </c>
      <c r="E12" s="88">
        <v>9467.620679902544</v>
      </c>
      <c r="F12" s="88">
        <v>6197006.2306798976</v>
      </c>
      <c r="G12" s="78">
        <v>131.60000000000002</v>
      </c>
      <c r="H12" s="78">
        <v>22.599999999999994</v>
      </c>
      <c r="I12" s="78">
        <f t="shared" ref="I12:J12" si="15">I24</f>
        <v>118.80999999999999</v>
      </c>
      <c r="J12" s="78">
        <f t="shared" si="15"/>
        <v>23.209999999999997</v>
      </c>
      <c r="K12" s="30">
        <v>1</v>
      </c>
      <c r="L12" s="30">
        <v>2364</v>
      </c>
      <c r="M12" s="30">
        <v>10</v>
      </c>
      <c r="N12" s="81">
        <v>0</v>
      </c>
      <c r="O12" s="30">
        <f t="shared" si="7"/>
        <v>6156037.2651059497</v>
      </c>
      <c r="P12" s="30">
        <f t="shared" si="1"/>
        <v>6146569.6444260469</v>
      </c>
      <c r="Q12" s="31">
        <f t="shared" si="2"/>
        <v>-40968.965573947877</v>
      </c>
      <c r="R12" s="48">
        <f t="shared" si="3"/>
        <v>6.611089943902318E-3</v>
      </c>
      <c r="AE12"/>
      <c r="AG12" s="70"/>
      <c r="AH12" s="65"/>
      <c r="AI12" s="37"/>
      <c r="AJ12" s="37"/>
      <c r="AL12" s="108"/>
      <c r="AM12" s="108"/>
      <c r="AN12" s="5"/>
      <c r="AO12" s="5"/>
      <c r="AP12" s="5"/>
      <c r="AQ12" s="5"/>
      <c r="AR12" s="5"/>
      <c r="AS12" s="27"/>
    </row>
    <row r="13" spans="1:45" x14ac:dyDescent="0.2">
      <c r="A13" s="2">
        <v>40848</v>
      </c>
      <c r="B13">
        <f t="shared" si="4"/>
        <v>2011</v>
      </c>
      <c r="C13">
        <f t="shared" si="5"/>
        <v>11</v>
      </c>
      <c r="D13" s="88">
        <v>6503187.4399999985</v>
      </c>
      <c r="E13" s="88">
        <v>9467.620679902544</v>
      </c>
      <c r="F13" s="88">
        <v>6512655.0606799014</v>
      </c>
      <c r="G13" s="78">
        <v>221.90000000000003</v>
      </c>
      <c r="H13" s="78">
        <v>0</v>
      </c>
      <c r="I13" s="78">
        <f t="shared" ref="I13:J13" si="16">I25</f>
        <v>307.13</v>
      </c>
      <c r="J13" s="78">
        <f t="shared" si="16"/>
        <v>0.89</v>
      </c>
      <c r="K13" s="30">
        <v>1</v>
      </c>
      <c r="L13" s="30">
        <v>2368</v>
      </c>
      <c r="M13" s="30">
        <v>11</v>
      </c>
      <c r="N13" s="81">
        <v>0</v>
      </c>
      <c r="O13" s="30">
        <f t="shared" si="7"/>
        <v>6810263.576621403</v>
      </c>
      <c r="P13" s="30">
        <f t="shared" si="1"/>
        <v>6800795.9559415001</v>
      </c>
      <c r="Q13" s="31">
        <f t="shared" si="2"/>
        <v>297608.5159415016</v>
      </c>
      <c r="R13" s="48">
        <f t="shared" si="3"/>
        <v>4.5696956643429563E-2</v>
      </c>
      <c r="S13" s="86"/>
      <c r="T13" s="86"/>
      <c r="U13" s="86"/>
      <c r="V13" s="86"/>
      <c r="W13" s="86"/>
      <c r="X13" s="86"/>
      <c r="AE13"/>
      <c r="AG13" s="70"/>
      <c r="AH13" s="65"/>
      <c r="AI13" s="37"/>
      <c r="AJ13" s="37"/>
      <c r="AL13" s="108"/>
      <c r="AM13" s="108"/>
      <c r="AN13" s="5"/>
      <c r="AO13" s="5"/>
      <c r="AP13" s="5"/>
      <c r="AQ13" s="5"/>
      <c r="AR13" s="5"/>
      <c r="AS13" s="27"/>
    </row>
    <row r="14" spans="1:45" ht="13.5" customHeight="1" x14ac:dyDescent="0.2">
      <c r="A14" s="2">
        <v>40878</v>
      </c>
      <c r="B14">
        <f t="shared" si="4"/>
        <v>2011</v>
      </c>
      <c r="C14">
        <f t="shared" si="5"/>
        <v>12</v>
      </c>
      <c r="D14" s="88">
        <v>8506879.0700000003</v>
      </c>
      <c r="E14" s="88">
        <v>9467.620679902544</v>
      </c>
      <c r="F14" s="88">
        <v>8516346.6906799022</v>
      </c>
      <c r="G14" s="78">
        <v>410</v>
      </c>
      <c r="H14" s="78">
        <v>0</v>
      </c>
      <c r="I14" s="78">
        <f t="shared" ref="I14:J14" si="17">I26</f>
        <v>451.35999999999996</v>
      </c>
      <c r="J14" s="78">
        <f t="shared" si="17"/>
        <v>0</v>
      </c>
      <c r="K14" s="30">
        <v>0</v>
      </c>
      <c r="L14" s="30">
        <v>2374</v>
      </c>
      <c r="M14" s="30">
        <v>12</v>
      </c>
      <c r="N14" s="81">
        <v>0</v>
      </c>
      <c r="O14" s="30">
        <f t="shared" si="7"/>
        <v>8658624.4890016112</v>
      </c>
      <c r="P14" s="30">
        <f t="shared" si="1"/>
        <v>8649156.8683217093</v>
      </c>
      <c r="Q14" s="31">
        <f t="shared" si="2"/>
        <v>142277.79832170904</v>
      </c>
      <c r="R14" s="48">
        <f t="shared" si="3"/>
        <v>1.6706435692362624E-2</v>
      </c>
      <c r="S14" t="s">
        <v>86</v>
      </c>
      <c r="AE14"/>
      <c r="AG14" s="70"/>
      <c r="AH14" s="65"/>
      <c r="AI14" s="37"/>
      <c r="AJ14" s="37"/>
      <c r="AL14" s="108"/>
      <c r="AM14" s="108"/>
      <c r="AN14" s="5"/>
      <c r="AO14" s="5"/>
      <c r="AP14" s="5"/>
      <c r="AQ14" s="5"/>
      <c r="AR14" s="5"/>
      <c r="AS14" s="27"/>
    </row>
    <row r="15" spans="1:45" x14ac:dyDescent="0.2">
      <c r="A15" s="2">
        <v>40909</v>
      </c>
      <c r="B15">
        <f t="shared" si="4"/>
        <v>2012</v>
      </c>
      <c r="C15">
        <f t="shared" si="5"/>
        <v>1</v>
      </c>
      <c r="D15" s="88">
        <v>6542070.0699999975</v>
      </c>
      <c r="E15" s="88">
        <v>32139.174490377161</v>
      </c>
      <c r="F15" s="88">
        <v>6574209.2444903748</v>
      </c>
      <c r="G15" s="78">
        <v>487.1</v>
      </c>
      <c r="H15" s="78">
        <v>0</v>
      </c>
      <c r="I15" s="78">
        <f t="shared" ref="I15:J15" si="18">I27</f>
        <v>563.5</v>
      </c>
      <c r="J15" s="78">
        <f t="shared" si="18"/>
        <v>0</v>
      </c>
      <c r="K15" s="30">
        <v>0</v>
      </c>
      <c r="L15" s="30">
        <v>2381</v>
      </c>
      <c r="M15" s="30">
        <v>13</v>
      </c>
      <c r="N15" s="81">
        <v>0</v>
      </c>
      <c r="O15" s="30">
        <f t="shared" si="7"/>
        <v>6837024.1330730282</v>
      </c>
      <c r="P15" s="30">
        <f t="shared" si="1"/>
        <v>6804884.9585826509</v>
      </c>
      <c r="Q15" s="31">
        <f t="shared" si="2"/>
        <v>262814.88858265337</v>
      </c>
      <c r="R15" s="48">
        <f t="shared" si="3"/>
        <v>3.9976654044425151E-2</v>
      </c>
      <c r="S15" t="s">
        <v>87</v>
      </c>
      <c r="AE15"/>
      <c r="AG15" s="70"/>
      <c r="AH15" s="65"/>
      <c r="AI15" s="37"/>
      <c r="AJ15" s="37"/>
      <c r="AL15" s="108"/>
      <c r="AM15" s="108"/>
      <c r="AN15" s="5"/>
      <c r="AO15" s="5"/>
      <c r="AP15" s="5"/>
      <c r="AQ15" s="5"/>
      <c r="AR15" s="5"/>
      <c r="AS15" s="27"/>
    </row>
    <row r="16" spans="1:45" x14ac:dyDescent="0.2">
      <c r="A16" s="2">
        <v>40940</v>
      </c>
      <c r="B16">
        <f t="shared" si="4"/>
        <v>2012</v>
      </c>
      <c r="C16">
        <f t="shared" si="5"/>
        <v>2</v>
      </c>
      <c r="D16" s="88">
        <v>7307980.3799999999</v>
      </c>
      <c r="E16" s="88">
        <v>32139.174490377161</v>
      </c>
      <c r="F16" s="88">
        <v>7340119.5544903772</v>
      </c>
      <c r="G16" s="78">
        <v>415.70000000000005</v>
      </c>
      <c r="H16" s="78">
        <v>0</v>
      </c>
      <c r="I16" s="78">
        <f t="shared" ref="I16:J16" si="19">I28</f>
        <v>516.6099999999999</v>
      </c>
      <c r="J16" s="78">
        <f t="shared" si="19"/>
        <v>0</v>
      </c>
      <c r="K16" s="30">
        <v>0</v>
      </c>
      <c r="L16" s="30">
        <v>2385</v>
      </c>
      <c r="M16" s="30">
        <v>14</v>
      </c>
      <c r="N16" s="81">
        <v>0</v>
      </c>
      <c r="O16" s="30">
        <f t="shared" si="7"/>
        <v>7687248.4865175439</v>
      </c>
      <c r="P16" s="30">
        <f t="shared" si="1"/>
        <v>7655109.3120271666</v>
      </c>
      <c r="Q16" s="31">
        <f t="shared" si="2"/>
        <v>347128.93202716671</v>
      </c>
      <c r="R16" s="48">
        <f t="shared" si="3"/>
        <v>4.7291999735182486E-2</v>
      </c>
      <c r="S16" t="s">
        <v>88</v>
      </c>
      <c r="AE16"/>
      <c r="AG16" s="70"/>
      <c r="AH16" s="65"/>
      <c r="AI16" s="37"/>
      <c r="AJ16" s="37"/>
      <c r="AL16" s="108"/>
      <c r="AM16" s="108"/>
      <c r="AN16" s="5"/>
      <c r="AO16" s="5"/>
      <c r="AP16" s="5"/>
      <c r="AQ16" s="5"/>
      <c r="AR16" s="33"/>
      <c r="AS16" s="27"/>
    </row>
    <row r="17" spans="1:46" x14ac:dyDescent="0.2">
      <c r="A17" s="2">
        <v>40969</v>
      </c>
      <c r="B17">
        <f t="shared" si="4"/>
        <v>2012</v>
      </c>
      <c r="C17">
        <f t="shared" si="5"/>
        <v>3</v>
      </c>
      <c r="D17" s="88">
        <v>6926363.8199999947</v>
      </c>
      <c r="E17" s="88">
        <v>32139.174490377161</v>
      </c>
      <c r="F17" s="88">
        <v>6958502.994490372</v>
      </c>
      <c r="G17" s="78">
        <v>236.3</v>
      </c>
      <c r="H17" s="78">
        <v>11.1</v>
      </c>
      <c r="I17" s="78">
        <f t="shared" ref="I17:J17" si="20">I29</f>
        <v>409.90999999999997</v>
      </c>
      <c r="J17" s="78">
        <f t="shared" si="20"/>
        <v>1.1599999999999999</v>
      </c>
      <c r="K17" s="30">
        <v>0</v>
      </c>
      <c r="L17" s="30">
        <v>2391</v>
      </c>
      <c r="M17" s="30">
        <v>15</v>
      </c>
      <c r="N17" s="81">
        <v>0</v>
      </c>
      <c r="O17" s="30">
        <f t="shared" si="7"/>
        <v>7506370.0545764426</v>
      </c>
      <c r="P17" s="30">
        <f t="shared" si="1"/>
        <v>7474230.8800860653</v>
      </c>
      <c r="Q17" s="31">
        <f t="shared" si="2"/>
        <v>547867.06008607056</v>
      </c>
      <c r="R17" s="48">
        <f t="shared" si="3"/>
        <v>7.8733466166481886E-2</v>
      </c>
      <c r="AE17"/>
      <c r="AG17" s="70"/>
      <c r="AH17" s="65"/>
      <c r="AI17" s="37"/>
      <c r="AJ17" s="37"/>
      <c r="AL17" s="108"/>
      <c r="AM17" s="108"/>
      <c r="AN17" s="5"/>
      <c r="AO17" s="5"/>
      <c r="AP17" s="5"/>
      <c r="AQ17" s="5"/>
      <c r="AR17" s="5"/>
      <c r="AS17" s="27"/>
    </row>
    <row r="18" spans="1:46" x14ac:dyDescent="0.2">
      <c r="A18" s="2">
        <v>41000</v>
      </c>
      <c r="B18">
        <f t="shared" si="4"/>
        <v>2012</v>
      </c>
      <c r="C18">
        <f t="shared" si="5"/>
        <v>4</v>
      </c>
      <c r="D18" s="88">
        <v>6496796.9000000078</v>
      </c>
      <c r="E18" s="88">
        <v>32139.174490377161</v>
      </c>
      <c r="F18" s="88">
        <v>6528936.0744903851</v>
      </c>
      <c r="G18" s="78">
        <v>206.9</v>
      </c>
      <c r="H18" s="78">
        <v>5.1999999999999975</v>
      </c>
      <c r="I18" s="78">
        <f t="shared" ref="I18:J18" si="21">I30</f>
        <v>227.5</v>
      </c>
      <c r="J18" s="78">
        <f t="shared" si="21"/>
        <v>2.3099999999999996</v>
      </c>
      <c r="K18" s="30">
        <v>0</v>
      </c>
      <c r="L18" s="30">
        <v>2398</v>
      </c>
      <c r="M18" s="30">
        <v>16</v>
      </c>
      <c r="N18" s="81">
        <v>0</v>
      </c>
      <c r="O18" s="30">
        <f t="shared" si="7"/>
        <v>6585451.8800998945</v>
      </c>
      <c r="P18" s="30">
        <f t="shared" si="1"/>
        <v>6553312.7056095172</v>
      </c>
      <c r="Q18" s="31">
        <f t="shared" si="2"/>
        <v>56515.805609509349</v>
      </c>
      <c r="R18" s="48">
        <f t="shared" si="3"/>
        <v>8.6562044665019454E-3</v>
      </c>
      <c r="S18" s="86"/>
      <c r="T18" s="86" t="s">
        <v>19</v>
      </c>
      <c r="U18" s="86" t="s">
        <v>20</v>
      </c>
      <c r="V18" t="s">
        <v>21</v>
      </c>
      <c r="W18" t="s">
        <v>22</v>
      </c>
      <c r="X18" s="86"/>
      <c r="Y18" s="86"/>
      <c r="Z18" s="86"/>
      <c r="AA18" s="86"/>
      <c r="AE18"/>
      <c r="AF18" s="49"/>
      <c r="AG18" s="65"/>
      <c r="AH18" s="66"/>
      <c r="AI18" s="37"/>
      <c r="AL18" s="57"/>
      <c r="AM18" s="67"/>
      <c r="AN18" s="67"/>
      <c r="AO18" s="67"/>
      <c r="AP18" s="5"/>
      <c r="AQ18" s="5"/>
      <c r="AS18" s="27"/>
    </row>
    <row r="19" spans="1:46" x14ac:dyDescent="0.2">
      <c r="A19" s="2">
        <v>41030</v>
      </c>
      <c r="B19">
        <f t="shared" si="4"/>
        <v>2012</v>
      </c>
      <c r="C19">
        <f t="shared" si="5"/>
        <v>5</v>
      </c>
      <c r="D19" s="88">
        <v>6393894.2299999967</v>
      </c>
      <c r="E19" s="88">
        <v>32139.174490377161</v>
      </c>
      <c r="F19" s="88">
        <v>6426033.404490374</v>
      </c>
      <c r="G19" s="78">
        <v>21.499999999999996</v>
      </c>
      <c r="H19" s="78">
        <v>101.5</v>
      </c>
      <c r="I19" s="78">
        <f t="shared" ref="I19:J19" si="22">I31</f>
        <v>59.269999999999982</v>
      </c>
      <c r="J19" s="78">
        <f t="shared" si="22"/>
        <v>70.86</v>
      </c>
      <c r="K19" s="30">
        <v>0</v>
      </c>
      <c r="L19" s="30">
        <v>2400</v>
      </c>
      <c r="M19" s="30">
        <v>17</v>
      </c>
      <c r="N19" s="81">
        <v>0</v>
      </c>
      <c r="O19" s="30">
        <f t="shared" si="7"/>
        <v>6403844.1830399409</v>
      </c>
      <c r="P19" s="30">
        <f t="shared" si="1"/>
        <v>6371705.0085495636</v>
      </c>
      <c r="Q19" s="31">
        <f t="shared" si="2"/>
        <v>-22189.221450433135</v>
      </c>
      <c r="R19" s="48">
        <f t="shared" si="3"/>
        <v>3.453019935272634E-3</v>
      </c>
      <c r="S19" t="s">
        <v>23</v>
      </c>
      <c r="T19">
        <v>-5916373.9028787296</v>
      </c>
      <c r="U19">
        <v>2782065.71442588</v>
      </c>
      <c r="V19">
        <v>-2.1266118453638501</v>
      </c>
      <c r="W19" s="79">
        <v>3.54180658453924E-2</v>
      </c>
      <c r="AE19"/>
      <c r="AF19" s="70"/>
      <c r="AG19" s="65"/>
      <c r="AH19" s="49"/>
      <c r="AI19" s="73"/>
      <c r="AJ19" s="73"/>
      <c r="AK19" s="1"/>
      <c r="AN19" s="5"/>
      <c r="AO19" s="5"/>
      <c r="AP19" s="5"/>
      <c r="AQ19" s="5"/>
    </row>
    <row r="20" spans="1:46" ht="16.5" customHeight="1" x14ac:dyDescent="0.2">
      <c r="A20" s="2">
        <v>41061</v>
      </c>
      <c r="B20">
        <f t="shared" si="4"/>
        <v>2012</v>
      </c>
      <c r="C20">
        <f t="shared" si="5"/>
        <v>6</v>
      </c>
      <c r="D20" s="88">
        <v>6938947.9299999932</v>
      </c>
      <c r="E20" s="88">
        <v>32139.174490377161</v>
      </c>
      <c r="F20" s="88">
        <v>6971087.1044903705</v>
      </c>
      <c r="G20" s="78">
        <v>1.0999999999999996</v>
      </c>
      <c r="H20" s="78">
        <v>199.5</v>
      </c>
      <c r="I20" s="78">
        <f t="shared" ref="I20:J20" si="23">I32</f>
        <v>1.85</v>
      </c>
      <c r="J20" s="78">
        <f t="shared" si="23"/>
        <v>171.74</v>
      </c>
      <c r="K20" s="30">
        <v>0</v>
      </c>
      <c r="L20" s="30">
        <v>2403</v>
      </c>
      <c r="M20" s="30">
        <v>18</v>
      </c>
      <c r="N20" s="81">
        <v>0</v>
      </c>
      <c r="O20" s="30">
        <f t="shared" si="7"/>
        <v>6835847.8696033573</v>
      </c>
      <c r="P20" s="30">
        <f t="shared" si="1"/>
        <v>6803708.69511298</v>
      </c>
      <c r="Q20" s="31">
        <f t="shared" si="2"/>
        <v>-135239.23488701321</v>
      </c>
      <c r="R20" s="48">
        <f t="shared" si="3"/>
        <v>1.9400020808791777E-2</v>
      </c>
      <c r="S20" t="s">
        <v>15</v>
      </c>
      <c r="T20">
        <v>3439.9854526525301</v>
      </c>
      <c r="U20">
        <v>284.78100360020699</v>
      </c>
      <c r="V20">
        <v>12.0794063127953</v>
      </c>
      <c r="W20" s="79">
        <v>9.7545551048802706E-23</v>
      </c>
      <c r="AE20"/>
      <c r="AF20" s="70"/>
      <c r="AG20" s="111"/>
      <c r="AH20" s="111"/>
      <c r="AI20" s="37"/>
      <c r="AK20" s="1"/>
      <c r="AN20" s="5"/>
      <c r="AO20" s="5"/>
      <c r="AP20" s="5"/>
      <c r="AQ20" s="5"/>
    </row>
    <row r="21" spans="1:46" x14ac:dyDescent="0.2">
      <c r="A21" s="2">
        <v>41091</v>
      </c>
      <c r="B21">
        <f t="shared" si="4"/>
        <v>2012</v>
      </c>
      <c r="C21">
        <f t="shared" si="5"/>
        <v>7</v>
      </c>
      <c r="D21" s="88">
        <v>7684381.6799999978</v>
      </c>
      <c r="E21" s="88">
        <v>32139.174490377161</v>
      </c>
      <c r="F21" s="88">
        <v>7716520.8544903751</v>
      </c>
      <c r="G21" s="78">
        <v>0</v>
      </c>
      <c r="H21" s="78">
        <v>319.39999999999998</v>
      </c>
      <c r="I21" s="78">
        <f t="shared" ref="I21:J21" si="24">I33</f>
        <v>0</v>
      </c>
      <c r="J21" s="78">
        <f t="shared" si="24"/>
        <v>269.41000000000003</v>
      </c>
      <c r="K21" s="30">
        <v>0</v>
      </c>
      <c r="L21" s="30">
        <v>2401</v>
      </c>
      <c r="M21" s="30">
        <v>19</v>
      </c>
      <c r="N21" s="81">
        <v>0</v>
      </c>
      <c r="O21" s="30">
        <f t="shared" si="7"/>
        <v>7468337.0286047356</v>
      </c>
      <c r="P21" s="30">
        <f t="shared" si="1"/>
        <v>7436197.8541143583</v>
      </c>
      <c r="Q21" s="31">
        <f t="shared" si="2"/>
        <v>-248183.82588563953</v>
      </c>
      <c r="R21" s="48">
        <f t="shared" si="3"/>
        <v>3.2162658608149437E-2</v>
      </c>
      <c r="S21" t="s">
        <v>16</v>
      </c>
      <c r="T21">
        <v>4964.6694516031102</v>
      </c>
      <c r="U21">
        <v>609.08805613857805</v>
      </c>
      <c r="V21">
        <v>8.1509880247488606</v>
      </c>
      <c r="W21" s="79">
        <v>3.2080165827579198E-13</v>
      </c>
      <c r="AE21"/>
      <c r="AF21" s="49"/>
      <c r="AG21" s="65"/>
      <c r="AH21" s="49"/>
      <c r="AI21" s="37"/>
      <c r="AK21" s="1"/>
      <c r="AN21" s="5"/>
      <c r="AO21" s="5"/>
      <c r="AP21" s="5"/>
      <c r="AQ21" s="5"/>
    </row>
    <row r="22" spans="1:46" x14ac:dyDescent="0.2">
      <c r="A22" s="2">
        <v>41122</v>
      </c>
      <c r="B22">
        <f t="shared" si="4"/>
        <v>2012</v>
      </c>
      <c r="C22">
        <f t="shared" si="5"/>
        <v>8</v>
      </c>
      <c r="D22" s="88">
        <v>7811739.2400000021</v>
      </c>
      <c r="E22" s="88">
        <v>32139.174490377161</v>
      </c>
      <c r="F22" s="88">
        <v>7843878.4144903794</v>
      </c>
      <c r="G22" s="78">
        <v>0</v>
      </c>
      <c r="H22" s="78">
        <v>234.09999999999997</v>
      </c>
      <c r="I22" s="78">
        <f t="shared" ref="I22:J22" si="25">I34</f>
        <v>0</v>
      </c>
      <c r="J22" s="78">
        <f t="shared" si="25"/>
        <v>242.46000000000004</v>
      </c>
      <c r="K22" s="30">
        <v>0</v>
      </c>
      <c r="L22" s="30">
        <v>2402</v>
      </c>
      <c r="M22" s="30">
        <v>20</v>
      </c>
      <c r="N22" s="81">
        <v>0</v>
      </c>
      <c r="O22" s="30">
        <f t="shared" si="7"/>
        <v>7885383.0511057815</v>
      </c>
      <c r="P22" s="30">
        <f t="shared" si="1"/>
        <v>7853243.8766154042</v>
      </c>
      <c r="Q22" s="31">
        <f t="shared" si="2"/>
        <v>41504.636615402065</v>
      </c>
      <c r="R22" s="48">
        <f t="shared" si="3"/>
        <v>5.2913411481147546E-3</v>
      </c>
      <c r="S22" t="s">
        <v>10</v>
      </c>
      <c r="T22">
        <v>-287027.88525663299</v>
      </c>
      <c r="U22">
        <v>97597.718799890194</v>
      </c>
      <c r="V22">
        <v>-2.9409282182623699</v>
      </c>
      <c r="W22">
        <v>3.9000816786556101E-3</v>
      </c>
      <c r="AE22"/>
      <c r="AF22" s="49"/>
      <c r="AG22" s="65"/>
      <c r="AH22" s="49"/>
      <c r="AI22" s="37"/>
      <c r="AK22" s="68"/>
      <c r="AL22" s="68"/>
      <c r="AM22" s="68"/>
      <c r="AN22" s="68"/>
      <c r="AO22" s="68"/>
      <c r="AP22" s="68"/>
      <c r="AQ22" s="5"/>
    </row>
    <row r="23" spans="1:46" x14ac:dyDescent="0.2">
      <c r="A23" s="2">
        <v>41153</v>
      </c>
      <c r="B23">
        <f t="shared" si="4"/>
        <v>2012</v>
      </c>
      <c r="C23">
        <f t="shared" si="5"/>
        <v>9</v>
      </c>
      <c r="D23" s="88">
        <v>6409326.7700000005</v>
      </c>
      <c r="E23" s="88">
        <v>32139.174490377161</v>
      </c>
      <c r="F23" s="88">
        <v>6441465.9444903778</v>
      </c>
      <c r="G23" s="78">
        <v>21.500000000000004</v>
      </c>
      <c r="H23" s="78">
        <v>92.09999999999998</v>
      </c>
      <c r="I23" s="78">
        <f t="shared" ref="I23:J23" si="26">I35</f>
        <v>10.66</v>
      </c>
      <c r="J23" s="78">
        <f t="shared" si="26"/>
        <v>124.26999999999998</v>
      </c>
      <c r="K23" s="30">
        <v>1</v>
      </c>
      <c r="L23" s="30">
        <v>2404</v>
      </c>
      <c r="M23" s="30">
        <v>21</v>
      </c>
      <c r="N23" s="81">
        <v>0</v>
      </c>
      <c r="O23" s="30">
        <f t="shared" si="7"/>
        <v>6563889.918441697</v>
      </c>
      <c r="P23" s="30">
        <f t="shared" si="1"/>
        <v>6531750.7439513197</v>
      </c>
      <c r="Q23" s="31">
        <f t="shared" si="2"/>
        <v>122423.97395131923</v>
      </c>
      <c r="R23" s="48">
        <f t="shared" si="3"/>
        <v>1.9005607575404936E-2</v>
      </c>
      <c r="S23" t="s">
        <v>6</v>
      </c>
      <c r="T23">
        <v>5095.3693580959898</v>
      </c>
      <c r="U23">
        <v>1194.4667212147699</v>
      </c>
      <c r="V23">
        <v>4.2658110666440399</v>
      </c>
      <c r="W23" s="79">
        <v>3.89573467034949E-5</v>
      </c>
      <c r="AE23"/>
      <c r="AF23" s="49"/>
      <c r="AG23" s="65"/>
      <c r="AH23" s="49"/>
      <c r="AI23" s="37"/>
      <c r="AK23" s="68"/>
      <c r="AL23" s="68"/>
      <c r="AM23" s="68"/>
      <c r="AN23" s="68"/>
      <c r="AO23" s="68"/>
      <c r="AP23" s="68"/>
      <c r="AQ23" s="5"/>
    </row>
    <row r="24" spans="1:46" x14ac:dyDescent="0.2">
      <c r="A24" s="2">
        <v>41183</v>
      </c>
      <c r="B24">
        <f t="shared" si="4"/>
        <v>2012</v>
      </c>
      <c r="C24">
        <f t="shared" si="5"/>
        <v>10</v>
      </c>
      <c r="D24" s="88">
        <v>6318161.7399999937</v>
      </c>
      <c r="E24" s="88">
        <v>32139.174490377161</v>
      </c>
      <c r="F24" s="88">
        <v>6350300.914490371</v>
      </c>
      <c r="G24" s="78">
        <v>130.50000000000003</v>
      </c>
      <c r="H24" s="78">
        <v>13.1</v>
      </c>
      <c r="I24" s="78">
        <f t="shared" ref="I24:J24" si="27">I36</f>
        <v>118.80999999999999</v>
      </c>
      <c r="J24" s="78">
        <f t="shared" si="27"/>
        <v>23.209999999999997</v>
      </c>
      <c r="K24" s="30">
        <v>1</v>
      </c>
      <c r="L24" s="30">
        <v>2413</v>
      </c>
      <c r="M24" s="30">
        <v>22</v>
      </c>
      <c r="N24" s="81">
        <v>0</v>
      </c>
      <c r="O24" s="30">
        <f t="shared" si="7"/>
        <v>6360280.2927045701</v>
      </c>
      <c r="P24" s="30">
        <f t="shared" si="1"/>
        <v>6328141.1182141928</v>
      </c>
      <c r="Q24" s="31">
        <f t="shared" si="2"/>
        <v>9979.378214199096</v>
      </c>
      <c r="R24" s="48">
        <f t="shared" si="3"/>
        <v>1.5714811547635091E-3</v>
      </c>
      <c r="S24" t="s">
        <v>9</v>
      </c>
      <c r="T24">
        <v>-12670.260980515101</v>
      </c>
      <c r="U24">
        <v>4811.7199068321797</v>
      </c>
      <c r="V24">
        <v>-2.63320833835829</v>
      </c>
      <c r="W24" s="79">
        <v>9.5258154177304492E-3</v>
      </c>
      <c r="AE24"/>
      <c r="AF24" s="49"/>
      <c r="AG24" s="65"/>
      <c r="AH24" s="49"/>
      <c r="AI24" s="37"/>
      <c r="AK24" s="103"/>
      <c r="AL24" s="103"/>
      <c r="AM24" s="103"/>
      <c r="AN24" s="63"/>
      <c r="AO24" s="63"/>
      <c r="AP24" s="63"/>
      <c r="AQ24" s="5"/>
    </row>
    <row r="25" spans="1:46" x14ac:dyDescent="0.2">
      <c r="A25" s="2">
        <v>41214</v>
      </c>
      <c r="B25">
        <f t="shared" si="4"/>
        <v>2012</v>
      </c>
      <c r="C25">
        <f t="shared" si="5"/>
        <v>11</v>
      </c>
      <c r="D25" s="88">
        <v>6992291.2000000067</v>
      </c>
      <c r="E25" s="88">
        <v>32139.174490377161</v>
      </c>
      <c r="F25" s="88">
        <v>7024430.374490384</v>
      </c>
      <c r="G25" s="78">
        <v>313.99999999999994</v>
      </c>
      <c r="H25" s="78">
        <v>0</v>
      </c>
      <c r="I25" s="78">
        <f t="shared" ref="I25:J25" si="28">I37</f>
        <v>307.13</v>
      </c>
      <c r="J25" s="78">
        <f t="shared" si="28"/>
        <v>0.89</v>
      </c>
      <c r="K25" s="30">
        <v>1</v>
      </c>
      <c r="L25" s="30">
        <v>2417</v>
      </c>
      <c r="M25" s="30">
        <v>23</v>
      </c>
      <c r="N25" s="81">
        <v>0</v>
      </c>
      <c r="O25" s="30">
        <f t="shared" si="7"/>
        <v>7005216.2302425876</v>
      </c>
      <c r="P25" s="30">
        <f t="shared" si="1"/>
        <v>6973077.0557522103</v>
      </c>
      <c r="Q25" s="31">
        <f t="shared" si="2"/>
        <v>-19214.144247796386</v>
      </c>
      <c r="R25" s="48">
        <f t="shared" si="3"/>
        <v>2.7353312971217761E-3</v>
      </c>
      <c r="S25" t="s">
        <v>12</v>
      </c>
      <c r="T25">
        <v>-677886.28139511496</v>
      </c>
      <c r="U25">
        <v>213280.44147183499</v>
      </c>
      <c r="V25">
        <v>-3.1783799616929902</v>
      </c>
      <c r="W25">
        <v>1.86680283319016E-3</v>
      </c>
      <c r="AE25" s="2"/>
      <c r="AF25" s="49"/>
      <c r="AG25" s="65"/>
      <c r="AH25" s="69"/>
      <c r="AI25" s="2"/>
      <c r="AJ25" s="37"/>
      <c r="AM25" s="2"/>
      <c r="AN25" s="70"/>
      <c r="AO25" s="70"/>
      <c r="AP25" s="70"/>
      <c r="AQ25" s="2"/>
      <c r="AR25" s="70"/>
      <c r="AS25" s="70"/>
      <c r="AT25" s="5"/>
    </row>
    <row r="26" spans="1:46" x14ac:dyDescent="0.2">
      <c r="A26" s="2">
        <v>41244</v>
      </c>
      <c r="B26">
        <f t="shared" si="4"/>
        <v>2012</v>
      </c>
      <c r="C26">
        <f t="shared" si="5"/>
        <v>12</v>
      </c>
      <c r="D26" s="88">
        <v>8346319.1100000069</v>
      </c>
      <c r="E26" s="88">
        <v>32139.174490377161</v>
      </c>
      <c r="F26" s="88">
        <v>8378458.2844903842</v>
      </c>
      <c r="G26" s="78">
        <v>409.50000000000006</v>
      </c>
      <c r="H26" s="78">
        <v>0</v>
      </c>
      <c r="I26" s="78">
        <f t="shared" ref="I26:J26" si="29">I38</f>
        <v>451.35999999999996</v>
      </c>
      <c r="J26" s="78">
        <f t="shared" si="29"/>
        <v>0</v>
      </c>
      <c r="K26" s="30">
        <v>0</v>
      </c>
      <c r="L26" s="30">
        <v>2425</v>
      </c>
      <c r="M26" s="30">
        <v>24</v>
      </c>
      <c r="N26" s="81">
        <v>0</v>
      </c>
      <c r="O26" s="30">
        <f t="shared" si="7"/>
        <v>8522456.0755384192</v>
      </c>
      <c r="P26" s="30">
        <f t="shared" si="1"/>
        <v>8490316.9010480419</v>
      </c>
      <c r="Q26" s="30">
        <f t="shared" si="2"/>
        <v>143997.79104803503</v>
      </c>
      <c r="R26" s="48">
        <f t="shared" si="3"/>
        <v>1.7186669212711086E-2</v>
      </c>
      <c r="AE26" s="2"/>
      <c r="AF26" s="49"/>
      <c r="AG26" s="65"/>
      <c r="AH26" s="69"/>
      <c r="AI26" s="2"/>
      <c r="AJ26" s="37"/>
      <c r="AM26" s="2"/>
      <c r="AN26" s="70"/>
      <c r="AO26" s="70"/>
      <c r="AP26" s="70"/>
      <c r="AQ26" s="2"/>
      <c r="AR26" s="70"/>
      <c r="AS26" s="70"/>
      <c r="AT26" s="5"/>
    </row>
    <row r="27" spans="1:46" x14ac:dyDescent="0.2">
      <c r="A27" s="2">
        <v>41275</v>
      </c>
      <c r="B27">
        <f t="shared" si="4"/>
        <v>2013</v>
      </c>
      <c r="C27">
        <f t="shared" si="5"/>
        <v>1</v>
      </c>
      <c r="D27" s="88">
        <v>6992984.0799999973</v>
      </c>
      <c r="E27" s="88">
        <v>64448.148935414909</v>
      </c>
      <c r="F27" s="88">
        <v>7057432.2289354121</v>
      </c>
      <c r="G27" s="78">
        <v>500.50000000000006</v>
      </c>
      <c r="H27" s="78">
        <v>0</v>
      </c>
      <c r="I27" s="78">
        <f t="shared" ref="I27:J27" si="30">I39</f>
        <v>563.5</v>
      </c>
      <c r="J27" s="78">
        <f t="shared" si="30"/>
        <v>0</v>
      </c>
      <c r="K27" s="30">
        <v>0</v>
      </c>
      <c r="L27" s="30">
        <v>2432</v>
      </c>
      <c r="M27" s="30">
        <v>25</v>
      </c>
      <c r="N27" s="81">
        <v>0</v>
      </c>
      <c r="O27" s="30">
        <f t="shared" si="7"/>
        <v>7274151.3124525212</v>
      </c>
      <c r="P27" s="30">
        <f t="shared" si="1"/>
        <v>7209703.1635171063</v>
      </c>
      <c r="Q27" s="30">
        <f t="shared" si="2"/>
        <v>216719.08351710904</v>
      </c>
      <c r="R27" s="48">
        <f t="shared" si="3"/>
        <v>3.0707922724154919E-2</v>
      </c>
      <c r="S27" t="s">
        <v>24</v>
      </c>
      <c r="AE27" s="2"/>
      <c r="AF27" s="49"/>
      <c r="AG27" s="112"/>
      <c r="AH27" s="69"/>
      <c r="AI27" s="2"/>
      <c r="AJ27" s="37"/>
      <c r="AM27" s="2"/>
      <c r="AN27" s="70"/>
      <c r="AO27" s="5"/>
      <c r="AP27" s="5"/>
      <c r="AQ27" s="2"/>
      <c r="AR27" s="70"/>
      <c r="AS27" s="5"/>
      <c r="AT27" s="5"/>
    </row>
    <row r="28" spans="1:46" x14ac:dyDescent="0.2">
      <c r="A28" s="2">
        <v>41306</v>
      </c>
      <c r="B28">
        <f t="shared" si="4"/>
        <v>2013</v>
      </c>
      <c r="C28">
        <f t="shared" si="5"/>
        <v>2</v>
      </c>
      <c r="D28" s="88">
        <v>7528794.9500000002</v>
      </c>
      <c r="E28" s="88">
        <v>64448.148935414909</v>
      </c>
      <c r="F28" s="88">
        <v>7593243.098935415</v>
      </c>
      <c r="G28" s="78">
        <v>519.49999999999989</v>
      </c>
      <c r="H28" s="78">
        <v>0</v>
      </c>
      <c r="I28" s="78">
        <f t="shared" ref="I28:J28" si="31">I40</f>
        <v>516.6099999999999</v>
      </c>
      <c r="J28" s="78">
        <f t="shared" si="31"/>
        <v>0</v>
      </c>
      <c r="K28" s="30">
        <v>0</v>
      </c>
      <c r="L28" s="30">
        <v>2441</v>
      </c>
      <c r="M28" s="30">
        <v>26</v>
      </c>
      <c r="N28" s="81">
        <v>0</v>
      </c>
      <c r="O28" s="30">
        <f t="shared" si="7"/>
        <v>7583301.5409772489</v>
      </c>
      <c r="P28" s="30">
        <f t="shared" si="1"/>
        <v>7518853.3920418341</v>
      </c>
      <c r="Q28" s="30">
        <f t="shared" si="2"/>
        <v>-9941.557958166115</v>
      </c>
      <c r="R28" s="48">
        <f t="shared" si="3"/>
        <v>1.3092637531333532E-3</v>
      </c>
      <c r="S28" t="s">
        <v>25</v>
      </c>
      <c r="T28">
        <v>7439770.1888907803</v>
      </c>
      <c r="U28" t="s">
        <v>26</v>
      </c>
      <c r="V28">
        <v>772806.71759679995</v>
      </c>
      <c r="AE28" s="2"/>
      <c r="AF28" s="49"/>
      <c r="AG28" s="65"/>
      <c r="AH28" s="69"/>
      <c r="AI28" s="2"/>
      <c r="AJ28" s="37"/>
      <c r="AM28" s="2"/>
      <c r="AN28" s="70"/>
      <c r="AO28" s="5"/>
      <c r="AP28" s="5"/>
      <c r="AQ28" s="2"/>
      <c r="AR28" s="70"/>
      <c r="AS28" s="5"/>
      <c r="AT28" s="5"/>
    </row>
    <row r="29" spans="1:46" x14ac:dyDescent="0.2">
      <c r="A29" s="2">
        <v>41334</v>
      </c>
      <c r="B29">
        <f t="shared" si="4"/>
        <v>2013</v>
      </c>
      <c r="C29">
        <f t="shared" si="5"/>
        <v>3</v>
      </c>
      <c r="D29" s="88">
        <v>7671019.2299999977</v>
      </c>
      <c r="E29" s="88">
        <v>64448.148935414909</v>
      </c>
      <c r="F29" s="88">
        <v>7735467.3789354125</v>
      </c>
      <c r="G29" s="78">
        <v>430.8</v>
      </c>
      <c r="H29" s="78">
        <v>0</v>
      </c>
      <c r="I29" s="78">
        <f t="shared" ref="I29:J29" si="32">I41</f>
        <v>409.90999999999997</v>
      </c>
      <c r="J29" s="78">
        <f t="shared" si="32"/>
        <v>1.1599999999999999</v>
      </c>
      <c r="K29" s="30">
        <v>0</v>
      </c>
      <c r="L29" s="30">
        <v>2459</v>
      </c>
      <c r="M29" s="30">
        <v>27</v>
      </c>
      <c r="N29" s="81">
        <v>0</v>
      </c>
      <c r="O29" s="30">
        <f t="shared" si="7"/>
        <v>7669365.0993933603</v>
      </c>
      <c r="P29" s="30">
        <f t="shared" si="1"/>
        <v>7604916.9504579455</v>
      </c>
      <c r="Q29" s="30">
        <f t="shared" si="2"/>
        <v>-66102.279542052187</v>
      </c>
      <c r="R29" s="48">
        <f t="shared" si="3"/>
        <v>8.5453504363623162E-3</v>
      </c>
      <c r="S29" t="s">
        <v>27</v>
      </c>
      <c r="T29">
        <v>24381832010483</v>
      </c>
      <c r="U29" t="s">
        <v>28</v>
      </c>
      <c r="V29">
        <v>441649.92480907799</v>
      </c>
      <c r="AE29" s="2"/>
      <c r="AF29" s="49"/>
      <c r="AG29" s="65"/>
      <c r="AH29" s="69"/>
      <c r="AI29" s="2"/>
      <c r="AJ29" s="37"/>
      <c r="AM29" s="2"/>
      <c r="AN29" s="70"/>
      <c r="AO29" s="5"/>
      <c r="AP29" s="5"/>
      <c r="AQ29" s="2"/>
      <c r="AR29" s="70"/>
      <c r="AS29" s="5"/>
      <c r="AT29" s="5"/>
    </row>
    <row r="30" spans="1:46" x14ac:dyDescent="0.2">
      <c r="A30" s="2">
        <v>41365</v>
      </c>
      <c r="B30">
        <f t="shared" si="4"/>
        <v>2013</v>
      </c>
      <c r="C30">
        <f t="shared" si="5"/>
        <v>4</v>
      </c>
      <c r="D30" s="88">
        <v>6871568.5999999996</v>
      </c>
      <c r="E30" s="88">
        <v>64448.148935414909</v>
      </c>
      <c r="F30" s="88">
        <v>6936016.7489354145</v>
      </c>
      <c r="G30" s="78">
        <v>239.99999999999997</v>
      </c>
      <c r="H30" s="78">
        <v>1.4000000000000004</v>
      </c>
      <c r="I30" s="78">
        <f t="shared" ref="I30:J30" si="33">I42</f>
        <v>227.5</v>
      </c>
      <c r="J30" s="78">
        <f t="shared" si="33"/>
        <v>2.3099999999999996</v>
      </c>
      <c r="K30" s="30">
        <v>0</v>
      </c>
      <c r="L30" s="30">
        <v>2464</v>
      </c>
      <c r="M30" s="30">
        <v>28</v>
      </c>
      <c r="N30" s="81">
        <v>0</v>
      </c>
      <c r="O30" s="30">
        <f t="shared" si="7"/>
        <v>6897534.7799782166</v>
      </c>
      <c r="P30" s="30">
        <f t="shared" si="1"/>
        <v>6833086.6310428018</v>
      </c>
      <c r="Q30" s="30">
        <f t="shared" si="2"/>
        <v>-38481.968957197852</v>
      </c>
      <c r="R30" s="48">
        <f t="shared" si="3"/>
        <v>5.5481366827876124E-3</v>
      </c>
      <c r="S30" t="s">
        <v>29</v>
      </c>
      <c r="T30">
        <v>0.688401738845417</v>
      </c>
      <c r="U30" t="s">
        <v>30</v>
      </c>
      <c r="V30" s="79">
        <v>0.67344502230999703</v>
      </c>
      <c r="AE30" s="2"/>
      <c r="AF30" s="49"/>
      <c r="AG30" s="112"/>
      <c r="AH30" s="69"/>
      <c r="AI30" s="2"/>
      <c r="AJ30" s="37"/>
      <c r="AM30" s="2"/>
      <c r="AN30" s="70"/>
      <c r="AO30" s="5"/>
      <c r="AP30" s="5"/>
      <c r="AQ30" s="2"/>
      <c r="AR30" s="70"/>
      <c r="AS30" s="5"/>
      <c r="AT30" s="5"/>
    </row>
    <row r="31" spans="1:46" x14ac:dyDescent="0.2">
      <c r="A31" s="2">
        <v>41395</v>
      </c>
      <c r="B31">
        <f t="shared" si="4"/>
        <v>2013</v>
      </c>
      <c r="C31">
        <f t="shared" si="5"/>
        <v>5</v>
      </c>
      <c r="D31" s="88">
        <v>6873417.9000000032</v>
      </c>
      <c r="E31" s="88">
        <v>64448.148935414909</v>
      </c>
      <c r="F31" s="88">
        <v>6937866.048935418</v>
      </c>
      <c r="G31" s="78">
        <v>45.1</v>
      </c>
      <c r="H31" s="78">
        <v>83.1</v>
      </c>
      <c r="I31" s="78">
        <f t="shared" ref="I31:J31" si="34">I43</f>
        <v>59.269999999999982</v>
      </c>
      <c r="J31" s="78">
        <f t="shared" si="34"/>
        <v>70.86</v>
      </c>
      <c r="K31" s="30">
        <v>0</v>
      </c>
      <c r="L31" s="30">
        <v>2462</v>
      </c>
      <c r="M31" s="30">
        <v>29</v>
      </c>
      <c r="N31" s="81">
        <v>0</v>
      </c>
      <c r="O31" s="30">
        <f t="shared" si="7"/>
        <v>6925843.088711882</v>
      </c>
      <c r="P31" s="30">
        <f t="shared" si="1"/>
        <v>6861394.9397764672</v>
      </c>
      <c r="Q31" s="30">
        <f t="shared" si="2"/>
        <v>-12022.960223536007</v>
      </c>
      <c r="R31" s="48">
        <f t="shared" si="3"/>
        <v>1.7329478745674071E-3</v>
      </c>
      <c r="S31" t="s">
        <v>89</v>
      </c>
      <c r="T31">
        <v>53.218325624543901</v>
      </c>
      <c r="U31" t="s">
        <v>31</v>
      </c>
      <c r="V31" s="79">
        <v>4.0383923664712798E-32</v>
      </c>
      <c r="AE31" s="2"/>
      <c r="AF31" s="49"/>
      <c r="AG31" s="65"/>
      <c r="AH31" s="69"/>
      <c r="AI31" s="2"/>
      <c r="AJ31" s="37"/>
      <c r="AM31" s="2"/>
      <c r="AN31" s="70"/>
      <c r="AO31" s="5"/>
      <c r="AP31" s="5"/>
      <c r="AQ31" s="2"/>
      <c r="AR31" s="70"/>
      <c r="AS31" s="5"/>
      <c r="AT31" s="5"/>
    </row>
    <row r="32" spans="1:46" x14ac:dyDescent="0.2">
      <c r="A32" s="2">
        <v>41426</v>
      </c>
      <c r="B32">
        <f t="shared" si="4"/>
        <v>2013</v>
      </c>
      <c r="C32">
        <f t="shared" si="5"/>
        <v>6</v>
      </c>
      <c r="D32" s="88">
        <v>6715915.2699999977</v>
      </c>
      <c r="E32" s="88">
        <v>64448.148935414909</v>
      </c>
      <c r="F32" s="88">
        <v>6780363.4189354125</v>
      </c>
      <c r="G32" s="78">
        <v>2.5999999999999996</v>
      </c>
      <c r="H32" s="78">
        <v>149.19999999999999</v>
      </c>
      <c r="I32" s="78">
        <f t="shared" ref="I32:J32" si="35">I44</f>
        <v>1.85</v>
      </c>
      <c r="J32" s="78">
        <f t="shared" si="35"/>
        <v>171.74</v>
      </c>
      <c r="K32" s="30">
        <v>0</v>
      </c>
      <c r="L32" s="30">
        <v>2453</v>
      </c>
      <c r="M32" s="30">
        <v>30</v>
      </c>
      <c r="N32" s="81">
        <v>0</v>
      </c>
      <c r="O32" s="30">
        <f t="shared" si="7"/>
        <v>6889687.0792850582</v>
      </c>
      <c r="P32" s="30">
        <f t="shared" si="1"/>
        <v>6825238.9303496433</v>
      </c>
      <c r="Q32" s="30">
        <f t="shared" si="2"/>
        <v>109323.66034964565</v>
      </c>
      <c r="R32" s="48">
        <f t="shared" si="3"/>
        <v>1.6123569430561674E-2</v>
      </c>
      <c r="S32" t="s">
        <v>32</v>
      </c>
      <c r="T32">
        <v>-2.50123868159357E-3</v>
      </c>
      <c r="U32" t="s">
        <v>33</v>
      </c>
      <c r="V32">
        <v>1.9576675850104199</v>
      </c>
      <c r="AE32" s="2"/>
      <c r="AF32" s="49"/>
      <c r="AG32" s="65"/>
      <c r="AH32" s="69"/>
      <c r="AI32" s="2"/>
      <c r="AJ32" s="37"/>
      <c r="AM32" s="2"/>
      <c r="AN32" s="70"/>
      <c r="AO32" s="5"/>
      <c r="AP32" s="5"/>
      <c r="AQ32" s="2"/>
      <c r="AR32" s="70"/>
      <c r="AS32" s="5"/>
      <c r="AT32" s="5"/>
    </row>
    <row r="33" spans="1:49" x14ac:dyDescent="0.2">
      <c r="A33" s="2">
        <v>41456</v>
      </c>
      <c r="B33">
        <f t="shared" si="4"/>
        <v>2013</v>
      </c>
      <c r="C33">
        <f t="shared" si="5"/>
        <v>7</v>
      </c>
      <c r="D33" s="88">
        <v>7529495.0199999996</v>
      </c>
      <c r="E33" s="88">
        <v>64448.148935414909</v>
      </c>
      <c r="F33" s="88">
        <v>7593943.1689354144</v>
      </c>
      <c r="G33" s="78">
        <v>0</v>
      </c>
      <c r="H33" s="78">
        <v>257.30000000000007</v>
      </c>
      <c r="I33" s="78">
        <f t="shared" ref="I33:J33" si="36">I45</f>
        <v>0</v>
      </c>
      <c r="J33" s="78">
        <f t="shared" si="36"/>
        <v>269.41000000000003</v>
      </c>
      <c r="K33" s="30">
        <v>0</v>
      </c>
      <c r="L33" s="30">
        <v>2456</v>
      </c>
      <c r="M33" s="30">
        <v>31</v>
      </c>
      <c r="N33" s="81">
        <v>0</v>
      </c>
      <c r="O33" s="30">
        <f t="shared" si="7"/>
        <v>7654065.3159943279</v>
      </c>
      <c r="P33" s="30">
        <f t="shared" si="1"/>
        <v>7589617.167058913</v>
      </c>
      <c r="Q33" s="30">
        <f t="shared" si="2"/>
        <v>60122.147058913484</v>
      </c>
      <c r="R33" s="48">
        <f t="shared" si="3"/>
        <v>7.9171183825624981E-3</v>
      </c>
      <c r="W33" s="79"/>
      <c r="AC33" s="79"/>
      <c r="AE33" s="2"/>
      <c r="AF33" s="49"/>
      <c r="AG33" s="112"/>
      <c r="AH33" s="69"/>
      <c r="AI33" s="2"/>
      <c r="AJ33" s="37"/>
      <c r="AM33" s="2"/>
      <c r="AN33" s="70"/>
      <c r="AO33" s="5"/>
      <c r="AP33" s="5"/>
      <c r="AQ33" s="2"/>
      <c r="AR33" s="70"/>
      <c r="AS33" s="5"/>
      <c r="AT33" s="5"/>
    </row>
    <row r="34" spans="1:49" x14ac:dyDescent="0.2">
      <c r="A34" s="2">
        <v>41487</v>
      </c>
      <c r="B34">
        <f t="shared" si="4"/>
        <v>2013</v>
      </c>
      <c r="C34">
        <f t="shared" si="5"/>
        <v>8</v>
      </c>
      <c r="D34" s="88">
        <v>7547300.5200000023</v>
      </c>
      <c r="E34" s="88">
        <v>64448.148935414909</v>
      </c>
      <c r="F34" s="88">
        <v>7611748.6689354172</v>
      </c>
      <c r="G34" s="78">
        <v>0</v>
      </c>
      <c r="H34" s="78">
        <v>213.4</v>
      </c>
      <c r="I34" s="78">
        <f t="shared" ref="I34:J34" si="37">I46</f>
        <v>0</v>
      </c>
      <c r="J34" s="78">
        <f t="shared" si="37"/>
        <v>242.46000000000004</v>
      </c>
      <c r="K34" s="30">
        <v>0</v>
      </c>
      <c r="L34" s="30">
        <v>2459</v>
      </c>
      <c r="M34" s="30">
        <v>32</v>
      </c>
      <c r="N34" s="81">
        <v>0</v>
      </c>
      <c r="O34" s="30">
        <f t="shared" si="7"/>
        <v>7756021.9631990036</v>
      </c>
      <c r="P34" s="30">
        <f t="shared" si="1"/>
        <v>7691573.8142635887</v>
      </c>
      <c r="Q34" s="30">
        <f t="shared" si="2"/>
        <v>144273.2942635864</v>
      </c>
      <c r="R34" s="48">
        <f t="shared" si="3"/>
        <v>1.8954027587955623E-2</v>
      </c>
      <c r="W34" s="79"/>
      <c r="AC34" s="79"/>
      <c r="AE34" s="2"/>
      <c r="AF34" s="49"/>
      <c r="AG34" s="65"/>
      <c r="AH34" s="69"/>
      <c r="AI34" s="2"/>
      <c r="AJ34" s="37"/>
      <c r="AM34" s="2"/>
      <c r="AN34" s="70"/>
      <c r="AO34" s="5"/>
      <c r="AP34" s="5"/>
      <c r="AQ34" s="2"/>
      <c r="AR34" s="70"/>
      <c r="AS34" s="5"/>
      <c r="AT34" s="5"/>
    </row>
    <row r="35" spans="1:49" x14ac:dyDescent="0.2">
      <c r="A35" s="2">
        <v>41518</v>
      </c>
      <c r="B35">
        <f t="shared" si="4"/>
        <v>2013</v>
      </c>
      <c r="C35">
        <f t="shared" si="5"/>
        <v>9</v>
      </c>
      <c r="D35" s="88">
        <v>6186232.4199999981</v>
      </c>
      <c r="E35" s="88">
        <v>64448.148935414909</v>
      </c>
      <c r="F35" s="88">
        <v>6250680.5689354129</v>
      </c>
      <c r="G35" s="78">
        <v>22.099999999999998</v>
      </c>
      <c r="H35" s="78">
        <v>80.200000000000017</v>
      </c>
      <c r="I35" s="78">
        <f t="shared" ref="I35:J35" si="38">I47</f>
        <v>10.66</v>
      </c>
      <c r="J35" s="78">
        <f t="shared" si="38"/>
        <v>124.26999999999998</v>
      </c>
      <c r="K35" s="30">
        <v>1</v>
      </c>
      <c r="L35" s="30">
        <v>2460</v>
      </c>
      <c r="M35" s="30">
        <v>33</v>
      </c>
      <c r="N35" s="81">
        <v>0</v>
      </c>
      <c r="O35" s="30">
        <f t="shared" si="7"/>
        <v>6430120.1180892168</v>
      </c>
      <c r="P35" s="30">
        <f t="shared" ref="P35:P66" si="39">O35-E35</f>
        <v>6365671.9691538019</v>
      </c>
      <c r="Q35" s="30">
        <f t="shared" ref="Q35:Q66" si="40">+O35-F35</f>
        <v>179439.54915380385</v>
      </c>
      <c r="R35" s="48">
        <f t="shared" ref="R35:R66" si="41">ABS(Q35/F35)</f>
        <v>2.8707201907834039E-2</v>
      </c>
      <c r="W35" s="79"/>
      <c r="AC35" s="79"/>
      <c r="AE35" s="2"/>
      <c r="AF35" s="49"/>
      <c r="AG35" s="65"/>
      <c r="AH35" s="69"/>
      <c r="AI35" s="2"/>
      <c r="AJ35" s="37"/>
      <c r="AM35" s="2"/>
      <c r="AN35" s="70"/>
      <c r="AO35" s="5"/>
      <c r="AP35" s="5"/>
      <c r="AQ35" s="2"/>
      <c r="AR35" s="70"/>
      <c r="AS35" s="37"/>
      <c r="AT35" s="5"/>
    </row>
    <row r="36" spans="1:49" x14ac:dyDescent="0.2">
      <c r="A36" s="2">
        <v>41548</v>
      </c>
      <c r="B36">
        <f t="shared" si="4"/>
        <v>2013</v>
      </c>
      <c r="C36">
        <f t="shared" si="5"/>
        <v>10</v>
      </c>
      <c r="D36" s="88">
        <v>6762438.1099999994</v>
      </c>
      <c r="E36" s="88">
        <v>64448.148935414909</v>
      </c>
      <c r="F36" s="88">
        <v>6826886.2589354143</v>
      </c>
      <c r="G36" s="78">
        <v>115.4</v>
      </c>
      <c r="H36" s="78">
        <v>16.100000000000001</v>
      </c>
      <c r="I36" s="78">
        <f t="shared" ref="I36:J36" si="42">I48</f>
        <v>118.80999999999999</v>
      </c>
      <c r="J36" s="78">
        <f t="shared" si="42"/>
        <v>23.209999999999997</v>
      </c>
      <c r="K36" s="30">
        <v>1</v>
      </c>
      <c r="L36" s="30">
        <v>2463</v>
      </c>
      <c r="M36" s="30">
        <v>34</v>
      </c>
      <c r="N36" s="81">
        <v>0</v>
      </c>
      <c r="O36" s="30">
        <f t="shared" si="7"/>
        <v>6873915.4091298571</v>
      </c>
      <c r="P36" s="30">
        <f t="shared" si="39"/>
        <v>6809467.2601944422</v>
      </c>
      <c r="Q36" s="30">
        <f t="shared" si="40"/>
        <v>47029.150194442831</v>
      </c>
      <c r="R36" s="48">
        <f t="shared" si="41"/>
        <v>6.8888140816596184E-3</v>
      </c>
      <c r="AE36" s="2"/>
      <c r="AF36" s="49"/>
      <c r="AH36" s="69"/>
      <c r="AI36" s="2"/>
      <c r="AJ36" s="37"/>
      <c r="AM36" s="2"/>
      <c r="AN36" s="70"/>
      <c r="AO36" s="5"/>
      <c r="AP36" s="5"/>
      <c r="AQ36" s="2"/>
      <c r="AR36" s="70"/>
      <c r="AS36" s="5"/>
      <c r="AT36" s="5"/>
    </row>
    <row r="37" spans="1:49" x14ac:dyDescent="0.2">
      <c r="A37" s="2">
        <v>41579</v>
      </c>
      <c r="B37">
        <f t="shared" si="4"/>
        <v>2013</v>
      </c>
      <c r="C37">
        <f t="shared" si="5"/>
        <v>11</v>
      </c>
      <c r="D37" s="88">
        <v>6874649.0500000017</v>
      </c>
      <c r="E37" s="88">
        <v>64448.148935414909</v>
      </c>
      <c r="F37" s="88">
        <v>6939097.1989354165</v>
      </c>
      <c r="G37" s="78">
        <v>358.20000000000005</v>
      </c>
      <c r="H37" s="78">
        <v>0</v>
      </c>
      <c r="I37" s="78">
        <f t="shared" ref="I37:J37" si="43">I49</f>
        <v>307.13</v>
      </c>
      <c r="J37" s="78">
        <f t="shared" si="43"/>
        <v>0.89</v>
      </c>
      <c r="K37" s="30">
        <v>1</v>
      </c>
      <c r="L37" s="30">
        <v>2472</v>
      </c>
      <c r="M37" s="30">
        <v>35</v>
      </c>
      <c r="N37" s="81">
        <v>0</v>
      </c>
      <c r="O37" s="30">
        <f t="shared" si="7"/>
        <v>6767835.6976803783</v>
      </c>
      <c r="P37" s="30">
        <f t="shared" si="39"/>
        <v>6703387.5487449635</v>
      </c>
      <c r="Q37" s="30">
        <f t="shared" si="40"/>
        <v>-171261.50125503819</v>
      </c>
      <c r="R37" s="48">
        <f t="shared" si="41"/>
        <v>2.4680660371973577E-2</v>
      </c>
      <c r="AE37" s="2"/>
      <c r="AI37" s="2"/>
      <c r="AM37" s="2"/>
      <c r="AN37" s="72"/>
      <c r="AO37" s="5"/>
      <c r="AP37" s="5"/>
      <c r="AQ37" s="2"/>
      <c r="AR37" s="72"/>
      <c r="AS37" s="67"/>
      <c r="AT37" s="5"/>
      <c r="AU37" s="28"/>
      <c r="AV37" s="28"/>
    </row>
    <row r="38" spans="1:49" x14ac:dyDescent="0.2">
      <c r="A38" s="2">
        <v>41609</v>
      </c>
      <c r="B38">
        <f t="shared" si="4"/>
        <v>2013</v>
      </c>
      <c r="C38">
        <f t="shared" si="5"/>
        <v>12</v>
      </c>
      <c r="D38" s="88">
        <v>9468067.9800000042</v>
      </c>
      <c r="E38" s="88">
        <v>64448.148935414909</v>
      </c>
      <c r="F38" s="88">
        <v>9532516.128935419</v>
      </c>
      <c r="G38" s="78">
        <v>563.9</v>
      </c>
      <c r="H38" s="78">
        <v>0</v>
      </c>
      <c r="I38" s="78">
        <f t="shared" ref="I38:J38" si="44">I50</f>
        <v>451.35999999999996</v>
      </c>
      <c r="J38" s="78">
        <f t="shared" si="44"/>
        <v>0</v>
      </c>
      <c r="K38" s="30">
        <v>0</v>
      </c>
      <c r="L38" s="30">
        <v>2477</v>
      </c>
      <c r="M38" s="30">
        <v>36</v>
      </c>
      <c r="N38" s="81">
        <v>0</v>
      </c>
      <c r="O38" s="30">
        <f t="shared" si="7"/>
        <v>9145380.1660939027</v>
      </c>
      <c r="P38" s="30">
        <f t="shared" si="39"/>
        <v>9080932.0171584878</v>
      </c>
      <c r="Q38" s="30">
        <f t="shared" si="40"/>
        <v>-387135.96284151636</v>
      </c>
      <c r="R38" s="48">
        <f t="shared" si="41"/>
        <v>4.0612148734413031E-2</v>
      </c>
      <c r="AE38" s="2"/>
      <c r="AI38" s="2"/>
      <c r="AM38" s="2"/>
      <c r="AN38" s="72"/>
      <c r="AO38" s="5"/>
      <c r="AP38" s="5"/>
      <c r="AQ38" s="2"/>
      <c r="AR38" s="72"/>
      <c r="AS38" s="5"/>
      <c r="AT38" s="5"/>
      <c r="AU38" s="28"/>
      <c r="AV38" s="28"/>
    </row>
    <row r="39" spans="1:49" x14ac:dyDescent="0.2">
      <c r="A39" s="2">
        <v>41640</v>
      </c>
      <c r="B39">
        <f t="shared" si="4"/>
        <v>2014</v>
      </c>
      <c r="C39">
        <f t="shared" si="5"/>
        <v>1</v>
      </c>
      <c r="D39" s="88">
        <v>7382347.2899999991</v>
      </c>
      <c r="E39" s="88">
        <v>105551.56172052656</v>
      </c>
      <c r="F39" s="88">
        <v>7487898.8517205259</v>
      </c>
      <c r="G39" s="78">
        <v>701.9000000000002</v>
      </c>
      <c r="H39" s="78">
        <v>0</v>
      </c>
      <c r="I39" s="78">
        <f t="shared" ref="I39:J39" si="45">I51</f>
        <v>563.5</v>
      </c>
      <c r="J39" s="78">
        <f t="shared" si="45"/>
        <v>0</v>
      </c>
      <c r="K39" s="30">
        <v>0</v>
      </c>
      <c r="L39" s="30">
        <v>2482</v>
      </c>
      <c r="M39" s="30">
        <v>37</v>
      </c>
      <c r="N39" s="81">
        <v>0</v>
      </c>
      <c r="O39" s="30">
        <f t="shared" si="7"/>
        <v>7011804.8650734155</v>
      </c>
      <c r="P39" s="30">
        <f t="shared" si="39"/>
        <v>6906253.3033528887</v>
      </c>
      <c r="Q39" s="30">
        <f t="shared" si="40"/>
        <v>-476093.98664711043</v>
      </c>
      <c r="R39" s="48">
        <f t="shared" si="41"/>
        <v>6.3581786569902224E-2</v>
      </c>
      <c r="W39" s="79"/>
      <c r="AC39" s="79"/>
      <c r="AE39" s="2"/>
      <c r="AI39" s="2"/>
      <c r="AM39" s="2"/>
      <c r="AN39" s="72"/>
      <c r="AO39" s="5"/>
      <c r="AP39" s="5"/>
      <c r="AQ39" s="2"/>
      <c r="AR39" s="72"/>
      <c r="AS39" s="5"/>
      <c r="AT39" s="5"/>
      <c r="AU39" s="28"/>
      <c r="AV39" s="28"/>
    </row>
    <row r="40" spans="1:49" x14ac:dyDescent="0.2">
      <c r="A40" s="2">
        <v>41671</v>
      </c>
      <c r="B40">
        <f t="shared" si="4"/>
        <v>2014</v>
      </c>
      <c r="C40">
        <f t="shared" si="5"/>
        <v>2</v>
      </c>
      <c r="D40" s="88">
        <v>8397444.3799999971</v>
      </c>
      <c r="E40" s="88">
        <v>105551.56172052656</v>
      </c>
      <c r="F40" s="88">
        <v>8502995.9417205229</v>
      </c>
      <c r="G40" s="78">
        <v>625.09999999999991</v>
      </c>
      <c r="H40" s="78">
        <v>0</v>
      </c>
      <c r="I40" s="78">
        <f t="shared" ref="I40:J40" si="46">I52</f>
        <v>516.6099999999999</v>
      </c>
      <c r="J40" s="78">
        <f t="shared" si="46"/>
        <v>0</v>
      </c>
      <c r="K40" s="30">
        <v>0</v>
      </c>
      <c r="L40" s="30">
        <v>2488</v>
      </c>
      <c r="M40" s="30">
        <v>38</v>
      </c>
      <c r="N40" s="81">
        <v>0</v>
      </c>
      <c r="O40" s="30">
        <f t="shared" si="7"/>
        <v>8129791.9199622497</v>
      </c>
      <c r="P40" s="30">
        <f t="shared" si="39"/>
        <v>8024240.3582417229</v>
      </c>
      <c r="Q40" s="30">
        <f t="shared" si="40"/>
        <v>-373204.02175827324</v>
      </c>
      <c r="R40" s="48">
        <f t="shared" si="41"/>
        <v>4.3890885555657219E-2</v>
      </c>
      <c r="V40" s="79"/>
      <c r="W40" s="79"/>
      <c r="AE40" s="2"/>
      <c r="AI40" s="2"/>
      <c r="AM40" s="2"/>
      <c r="AN40" s="72"/>
      <c r="AO40" s="5"/>
      <c r="AP40" s="5"/>
      <c r="AQ40" s="2"/>
      <c r="AR40" s="72"/>
      <c r="AS40" s="5"/>
      <c r="AT40" s="5"/>
      <c r="AU40" s="28"/>
      <c r="AV40" s="28"/>
    </row>
    <row r="41" spans="1:49" x14ac:dyDescent="0.2">
      <c r="A41" s="2">
        <v>41699</v>
      </c>
      <c r="B41">
        <f t="shared" si="4"/>
        <v>2014</v>
      </c>
      <c r="C41">
        <f t="shared" si="5"/>
        <v>3</v>
      </c>
      <c r="D41" s="88">
        <v>8130248.8600000041</v>
      </c>
      <c r="E41" s="88">
        <v>105551.56172052656</v>
      </c>
      <c r="F41" s="88">
        <v>8235800.4217205308</v>
      </c>
      <c r="G41" s="78">
        <v>566.6</v>
      </c>
      <c r="H41" s="78">
        <v>0</v>
      </c>
      <c r="I41" s="78">
        <f t="shared" ref="I41:J41" si="47">I53</f>
        <v>409.90999999999997</v>
      </c>
      <c r="J41" s="78">
        <f t="shared" si="47"/>
        <v>1.1599999999999999</v>
      </c>
      <c r="K41" s="30">
        <v>0</v>
      </c>
      <c r="L41" s="30">
        <v>2489</v>
      </c>
      <c r="M41" s="30">
        <v>39</v>
      </c>
      <c r="N41" s="81">
        <v>0</v>
      </c>
      <c r="O41" s="30">
        <f t="shared" si="7"/>
        <v>7702548.1177082658</v>
      </c>
      <c r="P41" s="30">
        <f t="shared" si="39"/>
        <v>7596996.555987739</v>
      </c>
      <c r="Q41" s="30">
        <f t="shared" si="40"/>
        <v>-533252.30401226506</v>
      </c>
      <c r="R41" s="48">
        <f t="shared" si="41"/>
        <v>6.4748084789172683E-2</v>
      </c>
      <c r="W41" s="79"/>
      <c r="AE41" s="2"/>
      <c r="AI41" s="2"/>
      <c r="AM41" s="2"/>
      <c r="AN41" s="72"/>
      <c r="AO41" s="5"/>
      <c r="AP41" s="5"/>
      <c r="AQ41" s="2"/>
      <c r="AR41" s="72"/>
      <c r="AS41" s="5"/>
      <c r="AT41" s="5"/>
      <c r="AU41" s="28"/>
      <c r="AV41" s="28"/>
    </row>
    <row r="42" spans="1:49" x14ac:dyDescent="0.2">
      <c r="A42" s="2">
        <v>41730</v>
      </c>
      <c r="B42">
        <f t="shared" si="4"/>
        <v>2014</v>
      </c>
      <c r="C42">
        <f t="shared" si="5"/>
        <v>4</v>
      </c>
      <c r="D42" s="88">
        <v>7475909.6799999997</v>
      </c>
      <c r="E42" s="88">
        <v>105551.56172052656</v>
      </c>
      <c r="F42" s="88">
        <v>7581461.2417205265</v>
      </c>
      <c r="G42" s="78">
        <v>236.89999999999995</v>
      </c>
      <c r="H42" s="78">
        <v>0</v>
      </c>
      <c r="I42" s="78">
        <f t="shared" ref="I42:J42" si="48">I54</f>
        <v>227.5</v>
      </c>
      <c r="J42" s="78">
        <f t="shared" si="48"/>
        <v>2.3099999999999996</v>
      </c>
      <c r="K42" s="30">
        <v>0</v>
      </c>
      <c r="L42" s="30">
        <v>2491</v>
      </c>
      <c r="M42" s="30">
        <v>40</v>
      </c>
      <c r="N42" s="81">
        <v>0</v>
      </c>
      <c r="O42" s="30">
        <f t="shared" si="7"/>
        <v>7560593.7648987956</v>
      </c>
      <c r="P42" s="30">
        <f t="shared" si="39"/>
        <v>7455042.2031782689</v>
      </c>
      <c r="Q42" s="30">
        <f t="shared" si="40"/>
        <v>-20867.476821730845</v>
      </c>
      <c r="R42" s="48">
        <f t="shared" si="41"/>
        <v>2.7524346766950175E-3</v>
      </c>
      <c r="W42" s="79"/>
      <c r="AE42" s="2"/>
      <c r="AI42" s="2"/>
      <c r="AM42" s="2"/>
      <c r="AN42" s="72"/>
      <c r="AO42" s="5"/>
      <c r="AP42" s="5"/>
      <c r="AQ42" s="2"/>
      <c r="AR42" s="72"/>
      <c r="AS42" s="5"/>
      <c r="AT42" s="5"/>
      <c r="AU42" s="28"/>
      <c r="AV42" s="28"/>
    </row>
    <row r="43" spans="1:49" x14ac:dyDescent="0.2">
      <c r="A43" s="2">
        <v>41760</v>
      </c>
      <c r="B43">
        <f t="shared" si="4"/>
        <v>2014</v>
      </c>
      <c r="C43">
        <f t="shared" si="5"/>
        <v>5</v>
      </c>
      <c r="D43" s="88">
        <v>6796663.4799999958</v>
      </c>
      <c r="E43" s="88">
        <v>105551.56172052656</v>
      </c>
      <c r="F43" s="88">
        <v>6902215.0417205226</v>
      </c>
      <c r="G43" s="78">
        <v>46.599999999999994</v>
      </c>
      <c r="H43" s="78">
        <v>50.400000000000006</v>
      </c>
      <c r="I43" s="78">
        <f t="shared" ref="I43:J43" si="49">I55</f>
        <v>59.269999999999982</v>
      </c>
      <c r="J43" s="78">
        <f t="shared" si="49"/>
        <v>70.86</v>
      </c>
      <c r="K43" s="30">
        <v>0</v>
      </c>
      <c r="L43" s="30">
        <v>2495</v>
      </c>
      <c r="M43" s="30">
        <v>41</v>
      </c>
      <c r="N43" s="81">
        <v>0</v>
      </c>
      <c r="O43" s="30">
        <f t="shared" si="7"/>
        <v>7047376.7943854295</v>
      </c>
      <c r="P43" s="30">
        <f t="shared" si="39"/>
        <v>6941825.2326649027</v>
      </c>
      <c r="Q43" s="30">
        <f t="shared" si="40"/>
        <v>145161.7526649069</v>
      </c>
      <c r="R43" s="48">
        <f t="shared" si="41"/>
        <v>2.1031183726886938E-2</v>
      </c>
      <c r="Z43" s="79"/>
      <c r="AE43" s="2"/>
      <c r="AI43" s="2"/>
      <c r="AM43" s="2"/>
      <c r="AN43" s="72"/>
      <c r="AO43" s="5"/>
      <c r="AP43" s="5"/>
      <c r="AQ43" s="2"/>
      <c r="AR43" s="72"/>
      <c r="AS43" s="5"/>
      <c r="AT43" s="5"/>
      <c r="AU43" s="28"/>
      <c r="AV43" s="28"/>
    </row>
    <row r="44" spans="1:49" x14ac:dyDescent="0.2">
      <c r="A44" s="2">
        <v>41791</v>
      </c>
      <c r="B44">
        <f t="shared" si="4"/>
        <v>2014</v>
      </c>
      <c r="C44">
        <f t="shared" si="5"/>
        <v>6</v>
      </c>
      <c r="D44" s="88">
        <v>6448751.459999999</v>
      </c>
      <c r="E44" s="88">
        <v>105551.56172052656</v>
      </c>
      <c r="F44" s="88">
        <v>6554303.0217205258</v>
      </c>
      <c r="G44" s="78">
        <v>0</v>
      </c>
      <c r="H44" s="78">
        <v>174</v>
      </c>
      <c r="I44" s="78">
        <f t="shared" ref="I44:J44" si="50">I56</f>
        <v>1.85</v>
      </c>
      <c r="J44" s="78">
        <f t="shared" si="50"/>
        <v>171.74</v>
      </c>
      <c r="K44" s="30">
        <v>0</v>
      </c>
      <c r="L44" s="30">
        <v>2502</v>
      </c>
      <c r="M44" s="30">
        <v>42</v>
      </c>
      <c r="N44" s="81">
        <v>0</v>
      </c>
      <c r="O44" s="30">
        <f t="shared" si="7"/>
        <v>6549446.8418473098</v>
      </c>
      <c r="P44" s="30">
        <f t="shared" si="39"/>
        <v>6443895.2801267831</v>
      </c>
      <c r="Q44" s="30">
        <f t="shared" si="40"/>
        <v>-4856.1798732159659</v>
      </c>
      <c r="R44" s="48">
        <f t="shared" si="41"/>
        <v>7.409147634955094E-4</v>
      </c>
      <c r="W44" s="79"/>
      <c r="AB44" s="79"/>
      <c r="AE44" s="2"/>
      <c r="AI44" s="2"/>
      <c r="AM44" s="2"/>
      <c r="AN44" s="72"/>
      <c r="AO44" s="5"/>
      <c r="AP44" s="5"/>
      <c r="AQ44" s="2"/>
      <c r="AR44" s="72"/>
      <c r="AS44" s="5"/>
      <c r="AT44" s="5"/>
      <c r="AU44" s="28"/>
      <c r="AV44" s="28"/>
    </row>
    <row r="45" spans="1:49" x14ac:dyDescent="0.2">
      <c r="A45" s="2">
        <v>41821</v>
      </c>
      <c r="B45">
        <f t="shared" si="4"/>
        <v>2014</v>
      </c>
      <c r="C45">
        <f t="shared" si="5"/>
        <v>7</v>
      </c>
      <c r="D45" s="88">
        <v>7390493.370000002</v>
      </c>
      <c r="E45" s="88">
        <v>105551.56172052656</v>
      </c>
      <c r="F45" s="88">
        <v>7496044.9317205288</v>
      </c>
      <c r="G45" s="78">
        <v>0</v>
      </c>
      <c r="H45" s="78">
        <v>190.99999999999997</v>
      </c>
      <c r="I45" s="78">
        <f t="shared" ref="I45:J45" si="51">I57</f>
        <v>0</v>
      </c>
      <c r="J45" s="78">
        <f t="shared" si="51"/>
        <v>269.41000000000003</v>
      </c>
      <c r="K45" s="30">
        <v>0</v>
      </c>
      <c r="L45" s="30">
        <v>2512</v>
      </c>
      <c r="M45" s="30">
        <v>43</v>
      </c>
      <c r="N45" s="81">
        <v>0</v>
      </c>
      <c r="O45" s="30">
        <f t="shared" si="7"/>
        <v>7885324.6634207293</v>
      </c>
      <c r="P45" s="30">
        <f t="shared" si="39"/>
        <v>7779773.1017002026</v>
      </c>
      <c r="Q45" s="30">
        <f t="shared" si="40"/>
        <v>389279.73170020059</v>
      </c>
      <c r="R45" s="48">
        <f t="shared" si="41"/>
        <v>5.1931349831283787E-2</v>
      </c>
      <c r="T45" s="79"/>
      <c r="W45" s="79"/>
      <c r="AB45" s="79"/>
      <c r="AE45" s="2"/>
      <c r="AI45" s="2"/>
      <c r="AM45" s="2"/>
      <c r="AN45" s="72"/>
      <c r="AO45" s="5"/>
      <c r="AP45" s="5"/>
      <c r="AQ45" s="2"/>
      <c r="AR45" s="72"/>
      <c r="AS45" s="5"/>
      <c r="AT45" s="5"/>
      <c r="AU45" s="28"/>
      <c r="AV45" s="28"/>
    </row>
    <row r="46" spans="1:49" x14ac:dyDescent="0.2">
      <c r="A46" s="2">
        <v>41852</v>
      </c>
      <c r="B46">
        <f t="shared" si="4"/>
        <v>2014</v>
      </c>
      <c r="C46">
        <f t="shared" si="5"/>
        <v>8</v>
      </c>
      <c r="D46" s="88">
        <v>6944132.1800000006</v>
      </c>
      <c r="E46" s="88">
        <v>105551.56172052656</v>
      </c>
      <c r="F46" s="88">
        <v>7049683.7417205274</v>
      </c>
      <c r="G46" s="78">
        <v>0</v>
      </c>
      <c r="H46" s="78">
        <v>197</v>
      </c>
      <c r="I46" s="78">
        <f t="shared" ref="I46:J46" si="52">I58</f>
        <v>0</v>
      </c>
      <c r="J46" s="78">
        <f t="shared" si="52"/>
        <v>242.46000000000004</v>
      </c>
      <c r="K46" s="30">
        <v>0</v>
      </c>
      <c r="L46" s="30">
        <v>2521</v>
      </c>
      <c r="M46" s="30">
        <v>44</v>
      </c>
      <c r="N46" s="81">
        <v>0</v>
      </c>
      <c r="O46" s="30">
        <f t="shared" si="7"/>
        <v>7275377.6149904048</v>
      </c>
      <c r="P46" s="30">
        <f t="shared" si="39"/>
        <v>7169826.053269878</v>
      </c>
      <c r="Q46" s="30">
        <f t="shared" si="40"/>
        <v>225693.8732698774</v>
      </c>
      <c r="R46" s="48">
        <f t="shared" si="41"/>
        <v>3.2014751517746118E-2</v>
      </c>
      <c r="V46" s="79"/>
      <c r="W46" s="79"/>
      <c r="AE46" s="2"/>
      <c r="AI46" s="2"/>
      <c r="AM46" s="2"/>
      <c r="AN46" s="72"/>
      <c r="AO46" s="5"/>
      <c r="AP46" s="5"/>
      <c r="AQ46" s="2"/>
      <c r="AR46" s="72"/>
      <c r="AS46" s="5"/>
      <c r="AT46" s="5"/>
      <c r="AU46" s="28"/>
      <c r="AV46" s="28"/>
      <c r="AW46" s="28"/>
    </row>
    <row r="47" spans="1:49" x14ac:dyDescent="0.2">
      <c r="A47" s="2">
        <v>41883</v>
      </c>
      <c r="B47">
        <f t="shared" si="4"/>
        <v>2014</v>
      </c>
      <c r="C47">
        <f t="shared" si="5"/>
        <v>9</v>
      </c>
      <c r="D47" s="88">
        <v>6510451.410000002</v>
      </c>
      <c r="E47" s="88">
        <v>105551.56172052656</v>
      </c>
      <c r="F47" s="88">
        <v>6616002.9717205288</v>
      </c>
      <c r="G47" s="78">
        <v>20.5</v>
      </c>
      <c r="H47" s="78">
        <v>100.89999999999998</v>
      </c>
      <c r="I47" s="78">
        <f t="shared" ref="I47:J47" si="53">I59</f>
        <v>10.66</v>
      </c>
      <c r="J47" s="78">
        <f t="shared" si="53"/>
        <v>124.26999999999998</v>
      </c>
      <c r="K47" s="30">
        <v>1</v>
      </c>
      <c r="L47" s="30">
        <v>2528</v>
      </c>
      <c r="M47" s="30">
        <v>45</v>
      </c>
      <c r="N47" s="81">
        <v>0</v>
      </c>
      <c r="O47" s="30">
        <f t="shared" si="7"/>
        <v>6698177.839950392</v>
      </c>
      <c r="P47" s="30">
        <f t="shared" si="39"/>
        <v>6592626.2782298652</v>
      </c>
      <c r="Q47" s="30">
        <f t="shared" si="40"/>
        <v>82174.868229863234</v>
      </c>
      <c r="R47" s="48">
        <f t="shared" si="41"/>
        <v>1.2420621420684338E-2</v>
      </c>
      <c r="AE47" s="2"/>
      <c r="AI47" s="2"/>
      <c r="AM47" s="2"/>
      <c r="AN47" s="72"/>
      <c r="AO47" s="5"/>
      <c r="AP47" s="5"/>
      <c r="AQ47" s="2"/>
      <c r="AR47" s="72"/>
      <c r="AS47" s="5"/>
      <c r="AT47" s="5"/>
      <c r="AU47" s="28"/>
      <c r="AV47" s="28"/>
    </row>
    <row r="48" spans="1:49" x14ac:dyDescent="0.2">
      <c r="A48" s="2">
        <v>41913</v>
      </c>
      <c r="B48">
        <f t="shared" si="4"/>
        <v>2014</v>
      </c>
      <c r="C48">
        <f t="shared" si="5"/>
        <v>10</v>
      </c>
      <c r="D48" s="88">
        <v>6792373.7300000032</v>
      </c>
      <c r="E48" s="88">
        <v>105551.56172052656</v>
      </c>
      <c r="F48" s="88">
        <v>6897925.29172053</v>
      </c>
      <c r="G48" s="78">
        <v>117.8</v>
      </c>
      <c r="H48" s="78">
        <v>18.800000000000004</v>
      </c>
      <c r="I48" s="78">
        <f t="shared" ref="I48:J48" si="54">I60</f>
        <v>118.80999999999999</v>
      </c>
      <c r="J48" s="78">
        <f t="shared" si="54"/>
        <v>23.209999999999997</v>
      </c>
      <c r="K48" s="30">
        <v>1</v>
      </c>
      <c r="L48" s="30">
        <v>2530</v>
      </c>
      <c r="M48" s="30">
        <v>46</v>
      </c>
      <c r="N48" s="81">
        <v>0</v>
      </c>
      <c r="O48" s="30">
        <f t="shared" si="7"/>
        <v>6923293.8693092782</v>
      </c>
      <c r="P48" s="30">
        <f t="shared" si="39"/>
        <v>6817742.3075887514</v>
      </c>
      <c r="Q48" s="30">
        <f t="shared" si="40"/>
        <v>25368.577588748187</v>
      </c>
      <c r="R48" s="48">
        <f t="shared" si="41"/>
        <v>3.6777112705464769E-3</v>
      </c>
      <c r="AE48" s="2"/>
      <c r="AI48" s="2"/>
      <c r="AM48" s="2"/>
      <c r="AN48" s="72"/>
      <c r="AO48" s="5"/>
      <c r="AP48" s="5"/>
      <c r="AQ48" s="2"/>
      <c r="AR48" s="72"/>
      <c r="AS48" s="5"/>
      <c r="AT48" s="5"/>
      <c r="AU48" s="28"/>
      <c r="AV48" s="28"/>
    </row>
    <row r="49" spans="1:48" x14ac:dyDescent="0.2">
      <c r="A49" s="2">
        <v>41944</v>
      </c>
      <c r="B49">
        <f t="shared" si="4"/>
        <v>2014</v>
      </c>
      <c r="C49">
        <f t="shared" si="5"/>
        <v>11</v>
      </c>
      <c r="D49" s="88">
        <v>7187665.7199999969</v>
      </c>
      <c r="E49" s="88">
        <v>105551.56172052656</v>
      </c>
      <c r="F49" s="88">
        <v>7293217.2817205237</v>
      </c>
      <c r="G49" s="78">
        <v>362.10000000000008</v>
      </c>
      <c r="H49" s="78">
        <v>0</v>
      </c>
      <c r="I49" s="78">
        <f t="shared" ref="I49:J49" si="55">I61</f>
        <v>307.13</v>
      </c>
      <c r="J49" s="78">
        <f t="shared" si="55"/>
        <v>0.89</v>
      </c>
      <c r="K49" s="30">
        <v>1</v>
      </c>
      <c r="L49" s="30">
        <v>2539</v>
      </c>
      <c r="M49" s="30">
        <v>47</v>
      </c>
      <c r="N49" s="81">
        <v>0</v>
      </c>
      <c r="O49" s="30">
        <f t="shared" si="7"/>
        <v>7108539.8372001406</v>
      </c>
      <c r="P49" s="30">
        <f t="shared" si="39"/>
        <v>7002988.2754796138</v>
      </c>
      <c r="Q49" s="30">
        <f t="shared" si="40"/>
        <v>-184677.44452038314</v>
      </c>
      <c r="R49" s="48">
        <f t="shared" si="41"/>
        <v>2.5321807562658599E-2</v>
      </c>
      <c r="AE49" s="2"/>
      <c r="AI49" s="2"/>
      <c r="AM49" s="2"/>
      <c r="AN49" s="72"/>
      <c r="AO49" s="5"/>
      <c r="AP49" s="5"/>
      <c r="AQ49" s="2"/>
      <c r="AR49" s="72"/>
      <c r="AS49" s="5"/>
      <c r="AT49" s="5"/>
      <c r="AU49" s="28"/>
      <c r="AV49" s="28"/>
    </row>
    <row r="50" spans="1:48" x14ac:dyDescent="0.2">
      <c r="A50" s="2">
        <v>41974</v>
      </c>
      <c r="B50">
        <f t="shared" si="4"/>
        <v>2014</v>
      </c>
      <c r="C50">
        <f t="shared" si="5"/>
        <v>12</v>
      </c>
      <c r="D50" s="88">
        <v>8927945.1699999962</v>
      </c>
      <c r="E50" s="88">
        <v>105551.56172052656</v>
      </c>
      <c r="F50" s="88">
        <v>9033496.731720522</v>
      </c>
      <c r="G50" s="78">
        <v>433.30000000000007</v>
      </c>
      <c r="H50" s="78">
        <v>0</v>
      </c>
      <c r="I50" s="78">
        <f t="shared" ref="I50:J50" si="56">I62</f>
        <v>451.35999999999996</v>
      </c>
      <c r="J50" s="78">
        <f t="shared" si="56"/>
        <v>0</v>
      </c>
      <c r="K50" s="30">
        <v>0</v>
      </c>
      <c r="L50" s="30">
        <v>2544</v>
      </c>
      <c r="M50" s="30">
        <v>48</v>
      </c>
      <c r="N50" s="81">
        <v>0</v>
      </c>
      <c r="O50" s="30">
        <f t="shared" si="7"/>
        <v>9095622.8689954262</v>
      </c>
      <c r="P50" s="30">
        <f t="shared" si="39"/>
        <v>8990071.3072749004</v>
      </c>
      <c r="Q50" s="30">
        <f t="shared" si="40"/>
        <v>62126.137274904177</v>
      </c>
      <c r="R50" s="48">
        <f t="shared" si="41"/>
        <v>6.8773077712811232E-3</v>
      </c>
      <c r="AE50" s="2"/>
      <c r="AI50" s="2"/>
      <c r="AM50" s="2"/>
      <c r="AN50" s="72"/>
      <c r="AO50" s="5"/>
      <c r="AP50" s="5"/>
      <c r="AQ50" s="2"/>
      <c r="AR50" s="72"/>
      <c r="AS50" s="5"/>
      <c r="AT50" s="5"/>
      <c r="AU50" s="28"/>
      <c r="AV50" s="28"/>
    </row>
    <row r="51" spans="1:48" x14ac:dyDescent="0.2">
      <c r="A51" s="2">
        <v>42005</v>
      </c>
      <c r="B51">
        <f t="shared" si="4"/>
        <v>2015</v>
      </c>
      <c r="C51">
        <f t="shared" si="5"/>
        <v>1</v>
      </c>
      <c r="D51" s="88">
        <v>8967430.3132530134</v>
      </c>
      <c r="E51" s="88">
        <v>194937.46716045527</v>
      </c>
      <c r="F51" s="88">
        <v>9162367.7804134693</v>
      </c>
      <c r="G51" s="78">
        <v>668.39999999999986</v>
      </c>
      <c r="H51" s="78">
        <v>0</v>
      </c>
      <c r="I51" s="78">
        <f t="shared" ref="I51:J51" si="57">I63</f>
        <v>563.5</v>
      </c>
      <c r="J51" s="78">
        <f t="shared" si="57"/>
        <v>0</v>
      </c>
      <c r="K51" s="30">
        <v>0</v>
      </c>
      <c r="L51" s="30">
        <v>2548</v>
      </c>
      <c r="M51" s="30">
        <v>49</v>
      </c>
      <c r="N51" s="81">
        <v>0</v>
      </c>
      <c r="O51" s="30">
        <f t="shared" si="7"/>
        <v>8801513.3064302187</v>
      </c>
      <c r="P51" s="30">
        <f t="shared" si="39"/>
        <v>8606575.8392697629</v>
      </c>
      <c r="Q51" s="30">
        <f t="shared" si="40"/>
        <v>-360854.47398325056</v>
      </c>
      <c r="R51" s="48">
        <f t="shared" si="41"/>
        <v>3.9384412701120183E-2</v>
      </c>
      <c r="V51" s="79"/>
      <c r="AE51" s="2"/>
      <c r="AI51" s="2"/>
      <c r="AM51" s="2"/>
      <c r="AN51" s="72"/>
      <c r="AO51" s="5"/>
      <c r="AP51" s="5"/>
      <c r="AQ51" s="2"/>
      <c r="AR51" s="72"/>
      <c r="AS51" s="5"/>
      <c r="AT51" s="5"/>
      <c r="AU51" s="28"/>
      <c r="AV51" s="28"/>
    </row>
    <row r="52" spans="1:48" x14ac:dyDescent="0.2">
      <c r="A52" s="2">
        <v>42036</v>
      </c>
      <c r="B52">
        <f t="shared" si="4"/>
        <v>2015</v>
      </c>
      <c r="C52">
        <f t="shared" si="5"/>
        <v>2</v>
      </c>
      <c r="D52" s="88">
        <v>8632890.5734939743</v>
      </c>
      <c r="E52" s="88">
        <v>194937.46716045527</v>
      </c>
      <c r="F52" s="88">
        <v>8827828.0406544302</v>
      </c>
      <c r="G52" s="78">
        <v>744.79999999999984</v>
      </c>
      <c r="H52" s="78">
        <v>0</v>
      </c>
      <c r="I52" s="78">
        <f t="shared" ref="I52:J52" si="58">I64</f>
        <v>516.6099999999999</v>
      </c>
      <c r="J52" s="78">
        <f t="shared" si="58"/>
        <v>0</v>
      </c>
      <c r="K52" s="30">
        <v>0</v>
      </c>
      <c r="L52" s="30">
        <v>2555</v>
      </c>
      <c r="M52" s="30">
        <v>50</v>
      </c>
      <c r="N52" s="81">
        <v>0</v>
      </c>
      <c r="O52" s="30">
        <f t="shared" si="7"/>
        <v>8042857.7602136498</v>
      </c>
      <c r="P52" s="30">
        <f t="shared" si="39"/>
        <v>7847920.2930531949</v>
      </c>
      <c r="Q52" s="30">
        <f t="shared" si="40"/>
        <v>-784970.28044078033</v>
      </c>
      <c r="R52" s="48">
        <f t="shared" si="41"/>
        <v>8.8919978597882657E-2</v>
      </c>
      <c r="V52" s="79"/>
      <c r="AE52" s="2"/>
      <c r="AI52" s="2"/>
      <c r="AM52" s="2"/>
      <c r="AN52" s="72"/>
      <c r="AO52" s="5"/>
      <c r="AP52" s="5"/>
      <c r="AQ52" s="2"/>
      <c r="AR52" s="72"/>
      <c r="AS52" s="5"/>
      <c r="AT52" s="5"/>
      <c r="AU52" s="28"/>
      <c r="AV52" s="28"/>
    </row>
    <row r="53" spans="1:48" x14ac:dyDescent="0.2">
      <c r="A53" s="2">
        <v>42064</v>
      </c>
      <c r="B53">
        <f t="shared" si="4"/>
        <v>2015</v>
      </c>
      <c r="C53">
        <f t="shared" si="5"/>
        <v>3</v>
      </c>
      <c r="D53" s="88">
        <v>8240875.3638554187</v>
      </c>
      <c r="E53" s="88">
        <v>194937.46716045527</v>
      </c>
      <c r="F53" s="88">
        <v>8435812.8310158737</v>
      </c>
      <c r="G53" s="78">
        <v>491.5</v>
      </c>
      <c r="H53" s="78">
        <v>0</v>
      </c>
      <c r="I53" s="78">
        <f t="shared" ref="I53:J53" si="59">I65</f>
        <v>409.90999999999997</v>
      </c>
      <c r="J53" s="78">
        <f t="shared" si="59"/>
        <v>1.1599999999999999</v>
      </c>
      <c r="K53" s="30">
        <v>0</v>
      </c>
      <c r="L53" s="30">
        <v>2553</v>
      </c>
      <c r="M53" s="30">
        <v>51</v>
      </c>
      <c r="N53" s="81">
        <v>0</v>
      </c>
      <c r="O53" s="30">
        <f t="shared" si="7"/>
        <v>8160903.4344978137</v>
      </c>
      <c r="P53" s="30">
        <f t="shared" si="39"/>
        <v>7965965.9673373587</v>
      </c>
      <c r="Q53" s="30">
        <f t="shared" si="40"/>
        <v>-274909.39651806001</v>
      </c>
      <c r="R53" s="48">
        <f t="shared" si="41"/>
        <v>3.2588370797808984E-2</v>
      </c>
      <c r="AE53" s="2"/>
      <c r="AI53" s="2"/>
      <c r="AM53" s="2"/>
      <c r="AN53" s="72"/>
      <c r="AO53" s="5"/>
      <c r="AP53" s="5"/>
      <c r="AQ53" s="2"/>
      <c r="AR53" s="72"/>
      <c r="AS53" s="5"/>
      <c r="AT53" s="5"/>
      <c r="AU53" s="28"/>
      <c r="AV53" s="28"/>
    </row>
    <row r="54" spans="1:48" x14ac:dyDescent="0.2">
      <c r="A54" s="2">
        <v>42095</v>
      </c>
      <c r="B54">
        <f t="shared" si="4"/>
        <v>2015</v>
      </c>
      <c r="C54">
        <f t="shared" si="5"/>
        <v>4</v>
      </c>
      <c r="D54" s="88">
        <v>7175293.9469879493</v>
      </c>
      <c r="E54" s="88">
        <v>194937.46716045527</v>
      </c>
      <c r="F54" s="88">
        <v>7370231.4141484043</v>
      </c>
      <c r="G54" s="78">
        <v>195.89999999999998</v>
      </c>
      <c r="H54" s="78">
        <v>2.1999999999999993</v>
      </c>
      <c r="I54" s="78">
        <f t="shared" ref="I54:J54" si="60">I66</f>
        <v>227.5</v>
      </c>
      <c r="J54" s="78">
        <f t="shared" si="60"/>
        <v>2.3099999999999996</v>
      </c>
      <c r="K54" s="30">
        <v>0</v>
      </c>
      <c r="L54" s="30">
        <v>2549</v>
      </c>
      <c r="M54" s="30">
        <v>52</v>
      </c>
      <c r="N54" s="81">
        <v>0</v>
      </c>
      <c r="O54" s="30">
        <f t="shared" si="7"/>
        <v>7479481.0680919001</v>
      </c>
      <c r="P54" s="30">
        <f t="shared" si="39"/>
        <v>7284543.6009314451</v>
      </c>
      <c r="Q54" s="30">
        <f t="shared" si="40"/>
        <v>109249.65394349582</v>
      </c>
      <c r="R54" s="48">
        <f t="shared" si="41"/>
        <v>1.4823096834350772E-2</v>
      </c>
      <c r="AE54" s="2"/>
      <c r="AI54" s="2"/>
      <c r="AM54" s="2"/>
      <c r="AN54" s="72"/>
      <c r="AO54" s="5"/>
      <c r="AP54" s="5"/>
      <c r="AQ54" s="2"/>
      <c r="AR54" s="72"/>
      <c r="AS54" s="5"/>
      <c r="AT54" s="5"/>
      <c r="AU54" s="28"/>
      <c r="AV54" s="28"/>
    </row>
    <row r="55" spans="1:48" x14ac:dyDescent="0.2">
      <c r="A55" s="2">
        <v>42125</v>
      </c>
      <c r="B55">
        <f t="shared" si="4"/>
        <v>2015</v>
      </c>
      <c r="C55">
        <f t="shared" si="5"/>
        <v>5</v>
      </c>
      <c r="D55" s="88">
        <v>6882245.3012048155</v>
      </c>
      <c r="E55" s="88">
        <v>194937.46716045527</v>
      </c>
      <c r="F55" s="88">
        <v>7077182.7683652705</v>
      </c>
      <c r="G55" s="78">
        <v>31.1</v>
      </c>
      <c r="H55" s="78">
        <v>99.9</v>
      </c>
      <c r="I55" s="78">
        <f t="shared" ref="I55:J55" si="61">I67</f>
        <v>59.269999999999982</v>
      </c>
      <c r="J55" s="78">
        <f t="shared" si="61"/>
        <v>70.86</v>
      </c>
      <c r="K55" s="30">
        <v>0</v>
      </c>
      <c r="L55" s="30">
        <v>2546</v>
      </c>
      <c r="M55" s="30">
        <v>53</v>
      </c>
      <c r="N55" s="81">
        <v>0</v>
      </c>
      <c r="O55" s="30">
        <f t="shared" si="7"/>
        <v>7029913.1576919379</v>
      </c>
      <c r="P55" s="30">
        <f t="shared" si="39"/>
        <v>6834975.6905314829</v>
      </c>
      <c r="Q55" s="30">
        <f t="shared" si="40"/>
        <v>-47269.610673332587</v>
      </c>
      <c r="R55" s="48">
        <f t="shared" si="41"/>
        <v>6.6791564130046057E-3</v>
      </c>
      <c r="AE55" s="2"/>
      <c r="AI55" s="2"/>
      <c r="AM55" s="2"/>
      <c r="AN55" s="72"/>
      <c r="AO55" s="5"/>
      <c r="AP55" s="5"/>
      <c r="AQ55" s="2"/>
      <c r="AR55" s="72"/>
      <c r="AS55" s="5"/>
      <c r="AT55" s="5"/>
      <c r="AU55" s="28"/>
      <c r="AV55" s="28"/>
    </row>
    <row r="56" spans="1:48" x14ac:dyDescent="0.2">
      <c r="A56" s="2">
        <v>42156</v>
      </c>
      <c r="B56">
        <f t="shared" si="4"/>
        <v>2015</v>
      </c>
      <c r="C56">
        <f t="shared" si="5"/>
        <v>6</v>
      </c>
      <c r="D56" s="88">
        <v>6719082.4385542162</v>
      </c>
      <c r="E56" s="88">
        <v>194937.46716045527</v>
      </c>
      <c r="F56" s="88">
        <v>6914019.9057146711</v>
      </c>
      <c r="G56" s="78">
        <v>2.9999999999999982</v>
      </c>
      <c r="H56" s="78">
        <v>121.5</v>
      </c>
      <c r="I56" s="78">
        <f t="shared" ref="I56:J56" si="62">I68</f>
        <v>1.85</v>
      </c>
      <c r="J56" s="78">
        <f t="shared" si="62"/>
        <v>171.74</v>
      </c>
      <c r="K56" s="30">
        <v>0</v>
      </c>
      <c r="L56" s="30">
        <v>2547</v>
      </c>
      <c r="M56" s="30">
        <v>54</v>
      </c>
      <c r="N56" s="81">
        <v>0</v>
      </c>
      <c r="O56" s="30">
        <f t="shared" si="7"/>
        <v>7159488.915692661</v>
      </c>
      <c r="P56" s="30">
        <f t="shared" si="39"/>
        <v>6964551.448532206</v>
      </c>
      <c r="Q56" s="30">
        <f t="shared" si="40"/>
        <v>245469.00997798983</v>
      </c>
      <c r="R56" s="48">
        <f t="shared" si="41"/>
        <v>3.5503081177868955E-2</v>
      </c>
      <c r="AE56" s="2"/>
      <c r="AI56" s="2"/>
      <c r="AM56" s="2"/>
      <c r="AN56" s="72"/>
      <c r="AO56" s="5"/>
      <c r="AP56" s="5"/>
      <c r="AQ56" s="2"/>
      <c r="AR56" s="72"/>
      <c r="AS56" s="5"/>
      <c r="AT56" s="5"/>
      <c r="AU56" s="28"/>
      <c r="AV56" s="28"/>
    </row>
    <row r="57" spans="1:48" x14ac:dyDescent="0.2">
      <c r="A57" s="2">
        <v>42186</v>
      </c>
      <c r="B57">
        <f t="shared" si="4"/>
        <v>2015</v>
      </c>
      <c r="C57">
        <f t="shared" si="5"/>
        <v>7</v>
      </c>
      <c r="D57" s="88">
        <v>7642373.2048192788</v>
      </c>
      <c r="E57" s="88">
        <v>194937.46716045527</v>
      </c>
      <c r="F57" s="88">
        <v>7837310.6719797337</v>
      </c>
      <c r="G57" s="78">
        <v>0</v>
      </c>
      <c r="H57" s="78">
        <v>234.3</v>
      </c>
      <c r="I57" s="78">
        <f t="shared" ref="I57:J57" si="63">I69</f>
        <v>0</v>
      </c>
      <c r="J57" s="78">
        <f t="shared" si="63"/>
        <v>269.41000000000003</v>
      </c>
      <c r="K57" s="30">
        <v>0</v>
      </c>
      <c r="L57" s="30">
        <v>2538</v>
      </c>
      <c r="M57" s="30">
        <v>55</v>
      </c>
      <c r="N57" s="81">
        <v>0</v>
      </c>
      <c r="O57" s="30">
        <f t="shared" si="7"/>
        <v>8011620.2164255194</v>
      </c>
      <c r="P57" s="30">
        <f t="shared" si="39"/>
        <v>7816682.7492650645</v>
      </c>
      <c r="Q57" s="30">
        <f t="shared" si="40"/>
        <v>174309.54444578569</v>
      </c>
      <c r="R57" s="48">
        <f t="shared" si="41"/>
        <v>2.2240989510468705E-2</v>
      </c>
      <c r="AE57" s="2"/>
      <c r="AI57" s="2"/>
      <c r="AM57" s="2"/>
      <c r="AN57" s="72"/>
      <c r="AO57" s="5"/>
      <c r="AP57" s="5"/>
      <c r="AQ57" s="2"/>
      <c r="AR57" s="72"/>
      <c r="AS57" s="5"/>
      <c r="AT57" s="5"/>
      <c r="AU57" s="28"/>
      <c r="AV57" s="28"/>
    </row>
    <row r="58" spans="1:48" x14ac:dyDescent="0.2">
      <c r="A58" s="2">
        <v>42217</v>
      </c>
      <c r="B58">
        <f t="shared" si="4"/>
        <v>2015</v>
      </c>
      <c r="C58">
        <f t="shared" si="5"/>
        <v>8</v>
      </c>
      <c r="D58" s="88">
        <v>7190501.1855421662</v>
      </c>
      <c r="E58" s="88">
        <v>194937.46716045527</v>
      </c>
      <c r="F58" s="88">
        <v>7385438.6527026212</v>
      </c>
      <c r="G58" s="78">
        <v>0</v>
      </c>
      <c r="H58" s="78">
        <v>208.20000000000002</v>
      </c>
      <c r="I58" s="78">
        <f t="shared" ref="I58:J58" si="64">I70</f>
        <v>0</v>
      </c>
      <c r="J58" s="78">
        <f t="shared" si="64"/>
        <v>242.46000000000004</v>
      </c>
      <c r="K58" s="30">
        <v>0</v>
      </c>
      <c r="L58" s="30">
        <v>2537</v>
      </c>
      <c r="M58" s="30">
        <v>56</v>
      </c>
      <c r="N58" s="81">
        <v>0</v>
      </c>
      <c r="O58" s="30">
        <f t="shared" si="7"/>
        <v>7555528.2281145435</v>
      </c>
      <c r="P58" s="30">
        <f t="shared" si="39"/>
        <v>7360590.7609540885</v>
      </c>
      <c r="Q58" s="30">
        <f t="shared" si="40"/>
        <v>170089.5754119223</v>
      </c>
      <c r="R58" s="48">
        <f t="shared" si="41"/>
        <v>2.3030395811314452E-2</v>
      </c>
      <c r="AE58" s="2"/>
      <c r="AI58" s="2"/>
      <c r="AM58" s="2"/>
      <c r="AN58" s="72"/>
      <c r="AO58" s="5"/>
      <c r="AP58" s="5"/>
      <c r="AQ58" s="2"/>
      <c r="AR58" s="72"/>
      <c r="AS58" s="5"/>
      <c r="AT58" s="5"/>
      <c r="AU58" s="28"/>
      <c r="AV58" s="28"/>
    </row>
    <row r="59" spans="1:48" x14ac:dyDescent="0.2">
      <c r="A59" s="2">
        <v>42248</v>
      </c>
      <c r="B59">
        <f t="shared" si="4"/>
        <v>2015</v>
      </c>
      <c r="C59">
        <f t="shared" si="5"/>
        <v>9</v>
      </c>
      <c r="D59" s="88">
        <v>7066672.2313253004</v>
      </c>
      <c r="E59" s="88">
        <v>194937.46716045527</v>
      </c>
      <c r="F59" s="88">
        <v>7261609.6984857554</v>
      </c>
      <c r="G59" s="78">
        <v>3.2999999999999989</v>
      </c>
      <c r="H59" s="78">
        <v>174.09999999999997</v>
      </c>
      <c r="I59" s="78">
        <f t="shared" ref="I59:J59" si="65">I71</f>
        <v>10.66</v>
      </c>
      <c r="J59" s="78">
        <f t="shared" si="65"/>
        <v>124.26999999999998</v>
      </c>
      <c r="K59" s="30">
        <v>1</v>
      </c>
      <c r="L59" s="30">
        <v>2544</v>
      </c>
      <c r="M59" s="30">
        <v>57</v>
      </c>
      <c r="N59" s="81">
        <v>0</v>
      </c>
      <c r="O59" s="30">
        <f t="shared" si="7"/>
        <v>7039538.5126438951</v>
      </c>
      <c r="P59" s="30">
        <f t="shared" si="39"/>
        <v>6844601.0454834402</v>
      </c>
      <c r="Q59" s="30">
        <f t="shared" si="40"/>
        <v>-222071.18584186025</v>
      </c>
      <c r="R59" s="48">
        <f t="shared" si="41"/>
        <v>3.0581537023143531E-2</v>
      </c>
      <c r="AE59" s="2"/>
      <c r="AI59" s="2"/>
      <c r="AM59" s="2"/>
      <c r="AN59" s="72"/>
      <c r="AO59" s="5"/>
      <c r="AP59" s="5"/>
      <c r="AQ59" s="2"/>
      <c r="AR59" s="72"/>
      <c r="AS59" s="5"/>
      <c r="AT59" s="5"/>
      <c r="AU59" s="28"/>
      <c r="AV59" s="28"/>
    </row>
    <row r="60" spans="1:48" x14ac:dyDescent="0.2">
      <c r="A60" s="2">
        <v>42278</v>
      </c>
      <c r="B60">
        <f t="shared" si="4"/>
        <v>2015</v>
      </c>
      <c r="C60">
        <f t="shared" si="5"/>
        <v>10</v>
      </c>
      <c r="D60" s="88">
        <v>6796226.5349397603</v>
      </c>
      <c r="E60" s="88">
        <v>194937.46716045527</v>
      </c>
      <c r="F60" s="88">
        <v>6991164.0021002153</v>
      </c>
      <c r="G60" s="78">
        <v>135.30000000000001</v>
      </c>
      <c r="H60" s="78">
        <v>9.4999999999999982</v>
      </c>
      <c r="I60" s="78">
        <f t="shared" ref="I60:J60" si="66">I72</f>
        <v>118.80999999999999</v>
      </c>
      <c r="J60" s="78">
        <f t="shared" si="66"/>
        <v>23.209999999999997</v>
      </c>
      <c r="K60" s="30">
        <v>1</v>
      </c>
      <c r="L60" s="30">
        <v>2557</v>
      </c>
      <c r="M60" s="30">
        <v>58</v>
      </c>
      <c r="N60" s="81">
        <v>0</v>
      </c>
      <c r="O60" s="30">
        <f t="shared" si="7"/>
        <v>7002504.2601674534</v>
      </c>
      <c r="P60" s="30">
        <f t="shared" si="39"/>
        <v>6807566.7930069985</v>
      </c>
      <c r="Q60" s="30">
        <f t="shared" si="40"/>
        <v>11340.258067238145</v>
      </c>
      <c r="R60" s="48">
        <f t="shared" si="41"/>
        <v>1.6220844002274039E-3</v>
      </c>
      <c r="AE60" s="2"/>
      <c r="AI60" s="2"/>
      <c r="AM60" s="2"/>
      <c r="AN60" s="72"/>
      <c r="AO60" s="5"/>
      <c r="AP60" s="5"/>
      <c r="AQ60" s="2"/>
      <c r="AR60" s="72"/>
      <c r="AS60" s="5"/>
      <c r="AT60" s="5"/>
      <c r="AU60" s="28"/>
      <c r="AV60" s="28"/>
    </row>
    <row r="61" spans="1:48" x14ac:dyDescent="0.2">
      <c r="A61" s="2">
        <v>42309</v>
      </c>
      <c r="B61">
        <f t="shared" si="4"/>
        <v>2015</v>
      </c>
      <c r="C61">
        <f t="shared" si="5"/>
        <v>11</v>
      </c>
      <c r="D61" s="88">
        <v>6323671.9614457851</v>
      </c>
      <c r="E61" s="88">
        <v>194937.46716045527</v>
      </c>
      <c r="F61" s="88">
        <v>6518609.4286062401</v>
      </c>
      <c r="G61" s="78">
        <v>227.2</v>
      </c>
      <c r="H61" s="78">
        <v>2.1999999999999993</v>
      </c>
      <c r="I61" s="78">
        <f t="shared" ref="I61:J61" si="67">I73</f>
        <v>307.13</v>
      </c>
      <c r="J61" s="78">
        <f t="shared" si="67"/>
        <v>0.89</v>
      </c>
      <c r="K61" s="30">
        <v>1</v>
      </c>
      <c r="L61" s="30">
        <v>2574</v>
      </c>
      <c r="M61" s="30">
        <v>59</v>
      </c>
      <c r="N61" s="81">
        <v>0</v>
      </c>
      <c r="O61" s="30">
        <f t="shared" si="7"/>
        <v>6787063.7488551568</v>
      </c>
      <c r="P61" s="30">
        <f t="shared" si="39"/>
        <v>6592126.2816947019</v>
      </c>
      <c r="Q61" s="30">
        <f t="shared" si="40"/>
        <v>268454.32024891675</v>
      </c>
      <c r="R61" s="48">
        <f t="shared" si="41"/>
        <v>4.1182758867379425E-2</v>
      </c>
      <c r="AE61" s="2"/>
      <c r="AN61" s="5"/>
      <c r="AO61" s="5"/>
      <c r="AP61" s="5"/>
      <c r="AQ61" s="5"/>
      <c r="AR61" s="5"/>
      <c r="AS61" s="5"/>
      <c r="AU61" s="28"/>
      <c r="AV61" s="28"/>
    </row>
    <row r="62" spans="1:48" x14ac:dyDescent="0.2">
      <c r="A62" s="2">
        <v>42339</v>
      </c>
      <c r="B62">
        <f t="shared" si="4"/>
        <v>2015</v>
      </c>
      <c r="C62">
        <f t="shared" si="5"/>
        <v>12</v>
      </c>
      <c r="D62" s="88">
        <v>6695925.5710843336</v>
      </c>
      <c r="E62" s="88">
        <v>194937.46716045527</v>
      </c>
      <c r="F62" s="88">
        <v>6890863.0382447885</v>
      </c>
      <c r="G62" s="78">
        <v>305.7</v>
      </c>
      <c r="H62" s="78">
        <v>0</v>
      </c>
      <c r="I62" s="78">
        <f t="shared" ref="I62:J62" si="68">I74</f>
        <v>451.35999999999996</v>
      </c>
      <c r="J62" s="78">
        <f t="shared" si="68"/>
        <v>0</v>
      </c>
      <c r="K62" s="30">
        <v>0</v>
      </c>
      <c r="L62" s="30">
        <v>2574</v>
      </c>
      <c r="M62" s="30">
        <v>60</v>
      </c>
      <c r="N62" s="81">
        <v>0</v>
      </c>
      <c r="O62" s="30">
        <f t="shared" si="7"/>
        <v>7391931.3192781564</v>
      </c>
      <c r="P62" s="30">
        <f t="shared" si="39"/>
        <v>7196993.8521177014</v>
      </c>
      <c r="Q62" s="30">
        <f t="shared" si="40"/>
        <v>501068.28103336785</v>
      </c>
      <c r="R62" s="48">
        <f t="shared" si="41"/>
        <v>7.2714880306342267E-2</v>
      </c>
      <c r="AE62" s="2"/>
      <c r="AN62" s="5"/>
      <c r="AO62" s="5"/>
      <c r="AP62" s="5"/>
      <c r="AQ62" s="5"/>
      <c r="AR62" s="5"/>
    </row>
    <row r="63" spans="1:48" x14ac:dyDescent="0.2">
      <c r="A63" s="2">
        <v>42370</v>
      </c>
      <c r="B63">
        <f t="shared" si="4"/>
        <v>2016</v>
      </c>
      <c r="C63">
        <f t="shared" si="5"/>
        <v>1</v>
      </c>
      <c r="D63" s="88">
        <v>8357389.1277108472</v>
      </c>
      <c r="E63" s="88">
        <v>331866.97414415696</v>
      </c>
      <c r="F63" s="88">
        <v>8689256.1018550042</v>
      </c>
      <c r="G63" s="78">
        <v>546.4</v>
      </c>
      <c r="H63" s="78">
        <v>0</v>
      </c>
      <c r="I63" s="78">
        <f t="shared" ref="I63:J63" si="69">I75</f>
        <v>563.5</v>
      </c>
      <c r="J63" s="78">
        <f t="shared" si="69"/>
        <v>0</v>
      </c>
      <c r="K63" s="30">
        <v>0</v>
      </c>
      <c r="L63" s="30">
        <v>2571</v>
      </c>
      <c r="M63" s="30">
        <v>61</v>
      </c>
      <c r="N63" s="81">
        <v>0</v>
      </c>
      <c r="O63" s="30">
        <f t="shared" si="7"/>
        <v>8748079.853095362</v>
      </c>
      <c r="P63" s="30">
        <f t="shared" si="39"/>
        <v>8416212.8789512049</v>
      </c>
      <c r="Q63" s="30">
        <f t="shared" si="40"/>
        <v>58823.751240357757</v>
      </c>
      <c r="R63" s="48">
        <f t="shared" si="41"/>
        <v>6.7697108418521479E-3</v>
      </c>
    </row>
    <row r="64" spans="1:48" x14ac:dyDescent="0.2">
      <c r="A64" s="2">
        <v>42401</v>
      </c>
      <c r="B64">
        <f t="shared" si="4"/>
        <v>2016</v>
      </c>
      <c r="C64">
        <f t="shared" si="5"/>
        <v>2</v>
      </c>
      <c r="D64" s="88">
        <v>8192805.8506024061</v>
      </c>
      <c r="E64" s="88">
        <v>331866.97414415696</v>
      </c>
      <c r="F64" s="88">
        <v>8524672.8247465622</v>
      </c>
      <c r="G64" s="78">
        <v>472.40000000000009</v>
      </c>
      <c r="H64" s="78">
        <v>0</v>
      </c>
      <c r="I64" s="78">
        <f t="shared" ref="I64:J64" si="70">I76</f>
        <v>516.6099999999999</v>
      </c>
      <c r="J64" s="78">
        <f t="shared" si="70"/>
        <v>0</v>
      </c>
      <c r="K64" s="30">
        <v>0</v>
      </c>
      <c r="L64" s="30">
        <v>2577</v>
      </c>
      <c r="M64" s="30">
        <v>62</v>
      </c>
      <c r="N64" s="81">
        <v>0</v>
      </c>
      <c r="O64" s="30">
        <f t="shared" si="7"/>
        <v>8676754.581608329</v>
      </c>
      <c r="P64" s="30">
        <f t="shared" si="39"/>
        <v>8344887.6074641719</v>
      </c>
      <c r="Q64" s="30">
        <f t="shared" si="40"/>
        <v>152081.7568617668</v>
      </c>
      <c r="R64" s="48">
        <f t="shared" si="41"/>
        <v>1.7840186947736401E-2</v>
      </c>
    </row>
    <row r="65" spans="1:18" x14ac:dyDescent="0.2">
      <c r="A65" s="2">
        <v>42430</v>
      </c>
      <c r="B65">
        <f t="shared" si="4"/>
        <v>2016</v>
      </c>
      <c r="C65">
        <f t="shared" si="5"/>
        <v>3</v>
      </c>
      <c r="D65" s="88">
        <v>7702210.1783132562</v>
      </c>
      <c r="E65" s="88">
        <v>331866.97414415696</v>
      </c>
      <c r="F65" s="88">
        <v>8034077.1524574133</v>
      </c>
      <c r="G65" s="78">
        <v>352.09999999999985</v>
      </c>
      <c r="H65" s="78">
        <v>0</v>
      </c>
      <c r="I65" s="78">
        <f t="shared" ref="I65:J65" si="71">I77</f>
        <v>409.90999999999997</v>
      </c>
      <c r="J65" s="78">
        <f t="shared" si="71"/>
        <v>1.1599999999999999</v>
      </c>
      <c r="K65" s="30">
        <v>0</v>
      </c>
      <c r="L65" s="30">
        <v>2605</v>
      </c>
      <c r="M65" s="30">
        <v>63</v>
      </c>
      <c r="N65" s="81">
        <v>0</v>
      </c>
      <c r="O65" s="30">
        <f t="shared" si="7"/>
        <v>8238701.7280391166</v>
      </c>
      <c r="P65" s="30">
        <f t="shared" si="39"/>
        <v>7906834.7538949596</v>
      </c>
      <c r="Q65" s="30">
        <f t="shared" si="40"/>
        <v>204624.57558170334</v>
      </c>
      <c r="R65" s="48">
        <f t="shared" si="41"/>
        <v>2.5469580600071044E-2</v>
      </c>
    </row>
    <row r="66" spans="1:18" x14ac:dyDescent="0.2">
      <c r="A66" s="2">
        <v>42461</v>
      </c>
      <c r="B66">
        <f t="shared" si="4"/>
        <v>2016</v>
      </c>
      <c r="C66">
        <f t="shared" si="5"/>
        <v>4</v>
      </c>
      <c r="D66" s="88">
        <v>7574603.3349397629</v>
      </c>
      <c r="E66" s="88">
        <v>331866.97414415696</v>
      </c>
      <c r="F66" s="88">
        <v>7906470.30908392</v>
      </c>
      <c r="G66" s="78">
        <v>277.10000000000008</v>
      </c>
      <c r="H66" s="78">
        <v>2.3000000000000007</v>
      </c>
      <c r="I66" s="78">
        <f t="shared" ref="I66:J66" si="72">I78</f>
        <v>227.5</v>
      </c>
      <c r="J66" s="78">
        <f t="shared" si="72"/>
        <v>2.3099999999999996</v>
      </c>
      <c r="K66" s="30">
        <v>0</v>
      </c>
      <c r="L66" s="30">
        <v>2601</v>
      </c>
      <c r="M66" s="30">
        <v>64</v>
      </c>
      <c r="N66" s="81">
        <v>0</v>
      </c>
      <c r="O66" s="30">
        <f t="shared" si="7"/>
        <v>7735896.6773268702</v>
      </c>
      <c r="P66" s="30">
        <f t="shared" si="39"/>
        <v>7404029.7031827131</v>
      </c>
      <c r="Q66" s="30">
        <f t="shared" si="40"/>
        <v>-170573.63175704982</v>
      </c>
      <c r="R66" s="48">
        <f t="shared" si="41"/>
        <v>2.1573929337478693E-2</v>
      </c>
    </row>
    <row r="67" spans="1:18" x14ac:dyDescent="0.2">
      <c r="A67" s="2">
        <v>42491</v>
      </c>
      <c r="B67">
        <f t="shared" si="4"/>
        <v>2016</v>
      </c>
      <c r="C67">
        <f t="shared" si="5"/>
        <v>5</v>
      </c>
      <c r="D67" s="88">
        <v>6410930.6313253017</v>
      </c>
      <c r="E67" s="88">
        <v>331866.97414415696</v>
      </c>
      <c r="F67" s="88">
        <v>6742797.6054694587</v>
      </c>
      <c r="G67" s="78">
        <v>66.599999999999994</v>
      </c>
      <c r="H67" s="78">
        <v>85</v>
      </c>
      <c r="I67" s="78">
        <f t="shared" ref="I67:J67" si="73">I79</f>
        <v>59.269999999999982</v>
      </c>
      <c r="J67" s="78">
        <f t="shared" si="73"/>
        <v>70.86</v>
      </c>
      <c r="K67" s="30">
        <v>0</v>
      </c>
      <c r="L67" s="30">
        <v>2598</v>
      </c>
      <c r="M67" s="30">
        <v>65</v>
      </c>
      <c r="N67" s="81">
        <v>0</v>
      </c>
      <c r="O67" s="30">
        <f t="shared" si="7"/>
        <v>6647382.0860558469</v>
      </c>
      <c r="P67" s="30">
        <f t="shared" ref="P67:P98" si="74">O67-E67</f>
        <v>6315515.1119116899</v>
      </c>
      <c r="Q67" s="30">
        <f t="shared" ref="Q67:Q98" si="75">+O67-F67</f>
        <v>-95415.519413611852</v>
      </c>
      <c r="R67" s="48">
        <f t="shared" ref="R67:R98" si="76">ABS(Q67/F67)</f>
        <v>1.4150731639373991E-2</v>
      </c>
    </row>
    <row r="68" spans="1:18" x14ac:dyDescent="0.2">
      <c r="A68" s="2">
        <v>42522</v>
      </c>
      <c r="B68">
        <f t="shared" ref="B68:B127" si="77">YEAR(A68)</f>
        <v>2016</v>
      </c>
      <c r="C68">
        <f t="shared" ref="C68:C127" si="78">MONTH(A68)</f>
        <v>6</v>
      </c>
      <c r="D68" s="88">
        <v>7343347.5469879536</v>
      </c>
      <c r="E68" s="88">
        <v>331866.97414415696</v>
      </c>
      <c r="F68" s="88">
        <v>7675214.5211321106</v>
      </c>
      <c r="G68" s="78">
        <v>3.0999999999999996</v>
      </c>
      <c r="H68" s="78">
        <v>182.6</v>
      </c>
      <c r="I68" s="78">
        <f t="shared" ref="I68:J68" si="79">I80</f>
        <v>1.85</v>
      </c>
      <c r="J68" s="78">
        <f t="shared" si="79"/>
        <v>171.74</v>
      </c>
      <c r="K68" s="30">
        <v>0</v>
      </c>
      <c r="L68" s="30">
        <v>2602</v>
      </c>
      <c r="M68" s="30">
        <v>66</v>
      </c>
      <c r="N68" s="81">
        <v>0</v>
      </c>
      <c r="O68" s="30">
        <f t="shared" ref="O68:O131" si="80">F68+(I68-G68)*$T$20+(J68-H68)*$T$21</f>
        <v>7616998.2290718853</v>
      </c>
      <c r="P68" s="30">
        <f t="shared" si="74"/>
        <v>7285131.2549277283</v>
      </c>
      <c r="Q68" s="30">
        <f t="shared" si="75"/>
        <v>-58216.292060225271</v>
      </c>
      <c r="R68" s="48">
        <f t="shared" si="76"/>
        <v>7.5849726284442981E-3</v>
      </c>
    </row>
    <row r="69" spans="1:18" x14ac:dyDescent="0.2">
      <c r="A69" s="2">
        <v>42552</v>
      </c>
      <c r="B69">
        <f t="shared" si="77"/>
        <v>2016</v>
      </c>
      <c r="C69">
        <f t="shared" si="78"/>
        <v>7</v>
      </c>
      <c r="D69" s="88">
        <v>7871478.3710843381</v>
      </c>
      <c r="E69" s="88">
        <v>331866.97414415696</v>
      </c>
      <c r="F69" s="88">
        <v>8203345.3452284951</v>
      </c>
      <c r="G69" s="78">
        <v>0</v>
      </c>
      <c r="H69" s="78">
        <v>300.89999999999998</v>
      </c>
      <c r="I69" s="78">
        <f t="shared" ref="I69:J69" si="81">I81</f>
        <v>0</v>
      </c>
      <c r="J69" s="78">
        <f t="shared" si="81"/>
        <v>269.41000000000003</v>
      </c>
      <c r="K69" s="30">
        <v>0</v>
      </c>
      <c r="L69" s="30">
        <v>2606</v>
      </c>
      <c r="M69" s="30">
        <v>67</v>
      </c>
      <c r="N69" s="81">
        <v>0</v>
      </c>
      <c r="O69" s="30">
        <f t="shared" si="80"/>
        <v>8047007.9041975131</v>
      </c>
      <c r="P69" s="30">
        <f t="shared" si="74"/>
        <v>7715140.9300533561</v>
      </c>
      <c r="Q69" s="30">
        <f t="shared" si="75"/>
        <v>-156337.44103098195</v>
      </c>
      <c r="R69" s="48">
        <f t="shared" si="76"/>
        <v>1.9057766612485257E-2</v>
      </c>
    </row>
    <row r="70" spans="1:18" x14ac:dyDescent="0.2">
      <c r="A70" s="2">
        <v>42583</v>
      </c>
      <c r="B70">
        <f t="shared" si="77"/>
        <v>2016</v>
      </c>
      <c r="C70">
        <f t="shared" si="78"/>
        <v>8</v>
      </c>
      <c r="D70" s="88">
        <v>7755227.0457831379</v>
      </c>
      <c r="E70" s="88">
        <v>331866.97414415696</v>
      </c>
      <c r="F70" s="88">
        <v>8087094.0199272949</v>
      </c>
      <c r="G70" s="78">
        <v>0</v>
      </c>
      <c r="H70" s="78">
        <v>319.40000000000003</v>
      </c>
      <c r="I70" s="78">
        <f t="shared" ref="I70:J70" si="82">I82</f>
        <v>0</v>
      </c>
      <c r="J70" s="78">
        <f t="shared" si="82"/>
        <v>242.46000000000004</v>
      </c>
      <c r="K70" s="30">
        <v>0</v>
      </c>
      <c r="L70" s="30">
        <v>2607</v>
      </c>
      <c r="M70" s="30">
        <v>68</v>
      </c>
      <c r="N70" s="81">
        <v>0</v>
      </c>
      <c r="O70" s="30">
        <f t="shared" si="80"/>
        <v>7705112.3523209514</v>
      </c>
      <c r="P70" s="30">
        <f t="shared" si="74"/>
        <v>7373245.3781767944</v>
      </c>
      <c r="Q70" s="30">
        <f t="shared" si="75"/>
        <v>-381981.66760634352</v>
      </c>
      <c r="R70" s="48">
        <f t="shared" si="76"/>
        <v>4.7233489145187116E-2</v>
      </c>
    </row>
    <row r="71" spans="1:18" x14ac:dyDescent="0.2">
      <c r="A71" s="2">
        <v>42614</v>
      </c>
      <c r="B71">
        <f t="shared" si="77"/>
        <v>2016</v>
      </c>
      <c r="C71">
        <f t="shared" si="78"/>
        <v>9</v>
      </c>
      <c r="D71" s="88">
        <v>7032991.7686746987</v>
      </c>
      <c r="E71" s="88">
        <v>331866.97414415696</v>
      </c>
      <c r="F71" s="88">
        <v>7364858.7428188557</v>
      </c>
      <c r="G71" s="78">
        <v>1.2999999999999989</v>
      </c>
      <c r="H71" s="78">
        <v>164.79999999999998</v>
      </c>
      <c r="I71" s="78">
        <f t="shared" ref="I71:J71" si="83">I83</f>
        <v>10.66</v>
      </c>
      <c r="J71" s="78">
        <f t="shared" si="83"/>
        <v>124.26999999999998</v>
      </c>
      <c r="K71" s="30">
        <v>1</v>
      </c>
      <c r="L71" s="30">
        <v>2608</v>
      </c>
      <c r="M71" s="30">
        <v>69</v>
      </c>
      <c r="N71" s="81">
        <v>0</v>
      </c>
      <c r="O71" s="30">
        <f t="shared" si="80"/>
        <v>7195838.9537822101</v>
      </c>
      <c r="P71" s="30">
        <f t="shared" si="74"/>
        <v>6863971.9796380531</v>
      </c>
      <c r="Q71" s="30">
        <f t="shared" si="75"/>
        <v>-169019.78903664555</v>
      </c>
      <c r="R71" s="48">
        <f t="shared" si="76"/>
        <v>2.2949495019364653E-2</v>
      </c>
    </row>
    <row r="72" spans="1:18" x14ac:dyDescent="0.2">
      <c r="A72" s="2">
        <v>42644</v>
      </c>
      <c r="B72">
        <f t="shared" si="77"/>
        <v>2016</v>
      </c>
      <c r="C72">
        <f t="shared" si="78"/>
        <v>10</v>
      </c>
      <c r="D72" s="88">
        <v>6150053.96626506</v>
      </c>
      <c r="E72" s="88">
        <v>331866.97414415696</v>
      </c>
      <c r="F72" s="88">
        <v>6481920.940409217</v>
      </c>
      <c r="G72" s="78">
        <v>105.89999999999999</v>
      </c>
      <c r="H72" s="78">
        <v>39.800000000000004</v>
      </c>
      <c r="I72" s="78">
        <f t="shared" ref="I72:J72" si="84">I84</f>
        <v>118.80999999999999</v>
      </c>
      <c r="J72" s="78">
        <f t="shared" si="84"/>
        <v>23.209999999999997</v>
      </c>
      <c r="K72" s="30">
        <v>1</v>
      </c>
      <c r="L72" s="30">
        <v>2614</v>
      </c>
      <c r="M72" s="30">
        <v>70</v>
      </c>
      <c r="N72" s="81">
        <v>0</v>
      </c>
      <c r="O72" s="30">
        <f t="shared" si="80"/>
        <v>6443967.2864008658</v>
      </c>
      <c r="P72" s="30">
        <f t="shared" si="74"/>
        <v>6112100.3122567087</v>
      </c>
      <c r="Q72" s="30">
        <f t="shared" si="75"/>
        <v>-37953.654008351266</v>
      </c>
      <c r="R72" s="48">
        <f t="shared" si="76"/>
        <v>5.8553096153553478E-3</v>
      </c>
    </row>
    <row r="73" spans="1:18" x14ac:dyDescent="0.2">
      <c r="A73" s="2">
        <v>42675</v>
      </c>
      <c r="B73">
        <f t="shared" si="77"/>
        <v>2016</v>
      </c>
      <c r="C73">
        <f t="shared" si="78"/>
        <v>11</v>
      </c>
      <c r="D73" s="88">
        <v>6266723.7204819247</v>
      </c>
      <c r="E73" s="88">
        <v>331866.97414415696</v>
      </c>
      <c r="F73" s="88">
        <v>6598590.6946260817</v>
      </c>
      <c r="G73" s="78">
        <v>218.89999999999995</v>
      </c>
      <c r="H73" s="78">
        <v>1.0999999999999996</v>
      </c>
      <c r="I73" s="78">
        <f t="shared" ref="I73:J73" si="85">I85</f>
        <v>307.13</v>
      </c>
      <c r="J73" s="78">
        <f t="shared" si="85"/>
        <v>0.89</v>
      </c>
      <c r="K73" s="30">
        <v>1</v>
      </c>
      <c r="L73" s="30">
        <v>2621</v>
      </c>
      <c r="M73" s="30">
        <v>71</v>
      </c>
      <c r="N73" s="81">
        <v>0</v>
      </c>
      <c r="O73" s="30">
        <f t="shared" si="80"/>
        <v>6901058.0305287782</v>
      </c>
      <c r="P73" s="30">
        <f t="shared" si="74"/>
        <v>6569191.0563846212</v>
      </c>
      <c r="Q73" s="30">
        <f t="shared" si="75"/>
        <v>302467.33590269648</v>
      </c>
      <c r="R73" s="48">
        <f t="shared" si="76"/>
        <v>4.5838172103783777E-2</v>
      </c>
    </row>
    <row r="74" spans="1:18" x14ac:dyDescent="0.2">
      <c r="A74" s="2">
        <v>42705</v>
      </c>
      <c r="B74">
        <f t="shared" si="77"/>
        <v>2016</v>
      </c>
      <c r="C74">
        <f t="shared" si="78"/>
        <v>12</v>
      </c>
      <c r="D74" s="88">
        <v>8092166.8722891547</v>
      </c>
      <c r="E74" s="88">
        <v>331866.97414415696</v>
      </c>
      <c r="F74" s="88">
        <v>8424033.8464333117</v>
      </c>
      <c r="G74" s="78">
        <v>483.99999999999989</v>
      </c>
      <c r="H74" s="78">
        <v>0</v>
      </c>
      <c r="I74" s="78">
        <f t="shared" ref="I74:J74" si="86">I86</f>
        <v>451.35999999999996</v>
      </c>
      <c r="J74" s="78">
        <f t="shared" si="86"/>
        <v>0</v>
      </c>
      <c r="K74" s="30">
        <v>0</v>
      </c>
      <c r="L74" s="30">
        <v>2625</v>
      </c>
      <c r="M74" s="30">
        <v>72</v>
      </c>
      <c r="N74" s="81">
        <v>0</v>
      </c>
      <c r="O74" s="30">
        <f t="shared" si="80"/>
        <v>8311752.7212587334</v>
      </c>
      <c r="P74" s="30">
        <f t="shared" si="74"/>
        <v>7979885.7471145764</v>
      </c>
      <c r="Q74" s="30">
        <f t="shared" si="75"/>
        <v>-112281.12517457828</v>
      </c>
      <c r="R74" s="48">
        <f t="shared" si="76"/>
        <v>1.332866501030471E-2</v>
      </c>
    </row>
    <row r="75" spans="1:18" x14ac:dyDescent="0.2">
      <c r="A75" s="2">
        <v>42736</v>
      </c>
      <c r="B75">
        <f t="shared" si="77"/>
        <v>2017</v>
      </c>
      <c r="C75">
        <f t="shared" si="78"/>
        <v>1</v>
      </c>
      <c r="D75" s="88">
        <v>8536456.1253012065</v>
      </c>
      <c r="E75" s="88">
        <v>425326.81217228295</v>
      </c>
      <c r="F75" s="88">
        <v>8961782.937473489</v>
      </c>
      <c r="G75" s="78">
        <v>484.9</v>
      </c>
      <c r="H75" s="78">
        <v>0</v>
      </c>
      <c r="I75" s="78">
        <f t="shared" ref="I75:J75" si="87">I87</f>
        <v>563.5</v>
      </c>
      <c r="J75" s="78">
        <f t="shared" si="87"/>
        <v>0</v>
      </c>
      <c r="K75" s="30">
        <v>0</v>
      </c>
      <c r="L75" s="30">
        <v>2632</v>
      </c>
      <c r="M75" s="30">
        <v>73</v>
      </c>
      <c r="N75" s="81">
        <v>0</v>
      </c>
      <c r="O75" s="30">
        <f t="shared" si="80"/>
        <v>9232165.7940519787</v>
      </c>
      <c r="P75" s="30">
        <f t="shared" si="74"/>
        <v>8806838.9818796962</v>
      </c>
      <c r="Q75" s="30">
        <f t="shared" si="75"/>
        <v>270382.85657848977</v>
      </c>
      <c r="R75" s="48">
        <f t="shared" si="76"/>
        <v>3.0170654485268782E-2</v>
      </c>
    </row>
    <row r="76" spans="1:18" x14ac:dyDescent="0.2">
      <c r="A76" s="2">
        <v>42767</v>
      </c>
      <c r="B76">
        <f t="shared" si="77"/>
        <v>2017</v>
      </c>
      <c r="C76">
        <f t="shared" si="78"/>
        <v>2</v>
      </c>
      <c r="D76" s="88">
        <v>7050356.7518072287</v>
      </c>
      <c r="E76" s="88">
        <v>425326.81217228295</v>
      </c>
      <c r="F76" s="88">
        <v>7475683.5639795121</v>
      </c>
      <c r="G76" s="78">
        <v>398.4</v>
      </c>
      <c r="H76" s="78">
        <v>0</v>
      </c>
      <c r="I76" s="78">
        <f t="shared" ref="I76:J76" si="88">I88</f>
        <v>516.6099999999999</v>
      </c>
      <c r="J76" s="78">
        <f t="shared" si="88"/>
        <v>0</v>
      </c>
      <c r="K76" s="30">
        <v>0</v>
      </c>
      <c r="L76" s="30">
        <v>2632</v>
      </c>
      <c r="M76" s="30">
        <v>74</v>
      </c>
      <c r="N76" s="81">
        <v>0</v>
      </c>
      <c r="O76" s="30">
        <f t="shared" si="80"/>
        <v>7882324.2443375671</v>
      </c>
      <c r="P76" s="30">
        <f t="shared" si="74"/>
        <v>7456997.4321652837</v>
      </c>
      <c r="Q76" s="30">
        <f t="shared" si="75"/>
        <v>406640.68035805505</v>
      </c>
      <c r="R76" s="48">
        <f t="shared" si="76"/>
        <v>5.4395116764625204E-2</v>
      </c>
    </row>
    <row r="77" spans="1:18" x14ac:dyDescent="0.2">
      <c r="A77" s="2">
        <v>42795</v>
      </c>
      <c r="B77">
        <f t="shared" si="77"/>
        <v>2017</v>
      </c>
      <c r="C77">
        <f t="shared" si="78"/>
        <v>3</v>
      </c>
      <c r="D77" s="88">
        <v>7960777.1951807197</v>
      </c>
      <c r="E77" s="88">
        <v>425326.81217228295</v>
      </c>
      <c r="F77" s="88">
        <v>8386104.0073530022</v>
      </c>
      <c r="G77" s="78">
        <v>450</v>
      </c>
      <c r="H77" s="78">
        <v>0</v>
      </c>
      <c r="I77" s="78">
        <f t="shared" ref="I77:J77" si="89">I89</f>
        <v>409.90999999999997</v>
      </c>
      <c r="J77" s="78">
        <f t="shared" si="89"/>
        <v>1.1599999999999999</v>
      </c>
      <c r="K77" s="30">
        <v>0</v>
      </c>
      <c r="L77" s="30">
        <v>2641</v>
      </c>
      <c r="M77" s="30">
        <v>75</v>
      </c>
      <c r="N77" s="81">
        <v>0</v>
      </c>
      <c r="O77" s="30">
        <f t="shared" si="80"/>
        <v>8253954.0071200216</v>
      </c>
      <c r="P77" s="30">
        <f t="shared" si="74"/>
        <v>7828627.1949477382</v>
      </c>
      <c r="Q77" s="30">
        <f t="shared" si="75"/>
        <v>-132150.00023298059</v>
      </c>
      <c r="R77" s="48">
        <f t="shared" si="76"/>
        <v>1.5758211455177567E-2</v>
      </c>
    </row>
    <row r="78" spans="1:18" x14ac:dyDescent="0.2">
      <c r="A78" s="2">
        <v>42826</v>
      </c>
      <c r="B78">
        <f t="shared" si="77"/>
        <v>2017</v>
      </c>
      <c r="C78">
        <f t="shared" si="78"/>
        <v>4</v>
      </c>
      <c r="D78" s="88">
        <v>6536291.9132530158</v>
      </c>
      <c r="E78" s="88">
        <v>425326.81217228295</v>
      </c>
      <c r="F78" s="88">
        <v>6961618.7254252993</v>
      </c>
      <c r="G78" s="78">
        <v>145.9</v>
      </c>
      <c r="H78" s="78">
        <v>8.3999999999999986</v>
      </c>
      <c r="I78" s="78">
        <f t="shared" ref="I78:J78" si="90">I90</f>
        <v>227.5</v>
      </c>
      <c r="J78" s="78">
        <f t="shared" si="90"/>
        <v>2.3099999999999996</v>
      </c>
      <c r="K78" s="30">
        <v>0</v>
      </c>
      <c r="L78" s="30">
        <v>2638</v>
      </c>
      <c r="M78" s="30">
        <v>76</v>
      </c>
      <c r="N78" s="81">
        <v>0</v>
      </c>
      <c r="O78" s="30">
        <f t="shared" si="80"/>
        <v>7212086.7014014833</v>
      </c>
      <c r="P78" s="30">
        <f t="shared" si="74"/>
        <v>6786759.8892292008</v>
      </c>
      <c r="Q78" s="30">
        <f t="shared" si="75"/>
        <v>250467.97597618401</v>
      </c>
      <c r="R78" s="48">
        <f t="shared" si="76"/>
        <v>3.59784104609783E-2</v>
      </c>
    </row>
    <row r="79" spans="1:18" x14ac:dyDescent="0.2">
      <c r="A79" s="2">
        <v>42856</v>
      </c>
      <c r="B79">
        <f t="shared" si="77"/>
        <v>2017</v>
      </c>
      <c r="C79">
        <f t="shared" si="78"/>
        <v>5</v>
      </c>
      <c r="D79" s="88">
        <v>6062612.0385542186</v>
      </c>
      <c r="E79" s="88">
        <v>425326.81217228295</v>
      </c>
      <c r="F79" s="88">
        <v>6487938.850726502</v>
      </c>
      <c r="G79" s="78">
        <v>82.59999999999998</v>
      </c>
      <c r="H79" s="78">
        <v>38.6</v>
      </c>
      <c r="I79" s="78">
        <f t="shared" ref="I79:J79" si="91">I91</f>
        <v>59.269999999999982</v>
      </c>
      <c r="J79" s="78">
        <f t="shared" si="91"/>
        <v>70.86</v>
      </c>
      <c r="K79" s="30">
        <v>0</v>
      </c>
      <c r="L79" s="30">
        <v>2624</v>
      </c>
      <c r="M79" s="30">
        <v>77</v>
      </c>
      <c r="N79" s="81">
        <v>0</v>
      </c>
      <c r="O79" s="30">
        <f t="shared" si="80"/>
        <v>6567844.2266248344</v>
      </c>
      <c r="P79" s="30">
        <f t="shared" si="74"/>
        <v>6142517.4144525509</v>
      </c>
      <c r="Q79" s="30">
        <f t="shared" si="75"/>
        <v>79905.375898332335</v>
      </c>
      <c r="R79" s="48">
        <f t="shared" si="76"/>
        <v>1.2315987825530252E-2</v>
      </c>
    </row>
    <row r="80" spans="1:18" x14ac:dyDescent="0.2">
      <c r="A80" s="2">
        <v>42887</v>
      </c>
      <c r="B80">
        <f t="shared" si="77"/>
        <v>2017</v>
      </c>
      <c r="C80">
        <f t="shared" si="78"/>
        <v>6</v>
      </c>
      <c r="D80" s="88">
        <v>6670926.1301204795</v>
      </c>
      <c r="E80" s="88">
        <v>425326.81217228295</v>
      </c>
      <c r="F80" s="88">
        <v>7096252.9422927629</v>
      </c>
      <c r="G80" s="78">
        <v>0.70000000000000107</v>
      </c>
      <c r="H80" s="78">
        <v>162.19999999999999</v>
      </c>
      <c r="I80" s="78">
        <f t="shared" ref="I80:J80" si="92">I92</f>
        <v>1.85</v>
      </c>
      <c r="J80" s="78">
        <f t="shared" si="92"/>
        <v>171.74</v>
      </c>
      <c r="K80" s="30">
        <v>0</v>
      </c>
      <c r="L80" s="30">
        <v>2633</v>
      </c>
      <c r="M80" s="30">
        <v>78</v>
      </c>
      <c r="N80" s="81">
        <v>0</v>
      </c>
      <c r="O80" s="30">
        <f t="shared" si="80"/>
        <v>7147571.8721316066</v>
      </c>
      <c r="P80" s="30">
        <f t="shared" si="74"/>
        <v>6722245.0599593241</v>
      </c>
      <c r="Q80" s="30">
        <f t="shared" si="75"/>
        <v>51318.929838843644</v>
      </c>
      <c r="R80" s="48">
        <f t="shared" si="76"/>
        <v>7.2318349213553769E-3</v>
      </c>
    </row>
    <row r="81" spans="1:34" x14ac:dyDescent="0.2">
      <c r="A81" s="2">
        <v>42917</v>
      </c>
      <c r="B81">
        <f t="shared" si="77"/>
        <v>2017</v>
      </c>
      <c r="C81">
        <f t="shared" si="78"/>
        <v>7</v>
      </c>
      <c r="D81" s="88">
        <v>6544660.1638554176</v>
      </c>
      <c r="E81" s="88">
        <v>425326.81217228295</v>
      </c>
      <c r="F81" s="88">
        <v>6969986.9760277011</v>
      </c>
      <c r="G81" s="78">
        <v>0</v>
      </c>
      <c r="H81" s="78">
        <v>240.50000000000009</v>
      </c>
      <c r="I81" s="78">
        <f t="shared" ref="I81:J81" si="93">I93</f>
        <v>0</v>
      </c>
      <c r="J81" s="78">
        <f t="shared" si="93"/>
        <v>269.41000000000003</v>
      </c>
      <c r="K81" s="30">
        <v>0</v>
      </c>
      <c r="L81" s="30">
        <v>2648</v>
      </c>
      <c r="M81" s="30">
        <v>79</v>
      </c>
      <c r="N81" s="81">
        <v>0</v>
      </c>
      <c r="O81" s="30">
        <f t="shared" si="80"/>
        <v>7113515.5698735463</v>
      </c>
      <c r="P81" s="30">
        <f t="shared" si="74"/>
        <v>6688188.7577012628</v>
      </c>
      <c r="Q81" s="30">
        <f t="shared" si="75"/>
        <v>143528.5938458452</v>
      </c>
      <c r="R81" s="48">
        <f t="shared" si="76"/>
        <v>2.0592376189437912E-2</v>
      </c>
    </row>
    <row r="82" spans="1:34" x14ac:dyDescent="0.2">
      <c r="A82" s="2">
        <v>42948</v>
      </c>
      <c r="B82">
        <f t="shared" si="77"/>
        <v>2017</v>
      </c>
      <c r="C82">
        <f t="shared" si="78"/>
        <v>8</v>
      </c>
      <c r="D82" s="88">
        <v>7044220.3084337329</v>
      </c>
      <c r="E82" s="88">
        <v>425326.81217228295</v>
      </c>
      <c r="F82" s="88">
        <v>7469547.1206060164</v>
      </c>
      <c r="G82" s="78">
        <v>0</v>
      </c>
      <c r="H82" s="78">
        <v>187.60000000000002</v>
      </c>
      <c r="I82" s="78">
        <f t="shared" ref="I82:J82" si="94">I94</f>
        <v>0</v>
      </c>
      <c r="J82" s="78">
        <f t="shared" si="94"/>
        <v>242.46000000000004</v>
      </c>
      <c r="K82" s="30">
        <v>0</v>
      </c>
      <c r="L82" s="30">
        <v>2658</v>
      </c>
      <c r="M82" s="30">
        <v>80</v>
      </c>
      <c r="N82" s="81">
        <v>0</v>
      </c>
      <c r="O82" s="30">
        <f t="shared" si="80"/>
        <v>7741908.8867209628</v>
      </c>
      <c r="P82" s="30">
        <f t="shared" si="74"/>
        <v>7316582.0745486803</v>
      </c>
      <c r="Q82" s="30">
        <f t="shared" si="75"/>
        <v>272361.76611494645</v>
      </c>
      <c r="R82" s="48">
        <f t="shared" si="76"/>
        <v>3.6462955747824412E-2</v>
      </c>
      <c r="AE82"/>
      <c r="AF82"/>
    </row>
    <row r="83" spans="1:34" x14ac:dyDescent="0.2">
      <c r="A83" s="2">
        <v>42979</v>
      </c>
      <c r="B83">
        <f t="shared" si="77"/>
        <v>2017</v>
      </c>
      <c r="C83">
        <f t="shared" si="78"/>
        <v>9</v>
      </c>
      <c r="D83" s="88">
        <v>6545898.053012046</v>
      </c>
      <c r="E83" s="88">
        <v>425326.81217228295</v>
      </c>
      <c r="F83" s="88">
        <v>6971224.8651843295</v>
      </c>
      <c r="G83" s="78">
        <v>7.7000000000000011</v>
      </c>
      <c r="H83" s="78">
        <v>150.10000000000002</v>
      </c>
      <c r="I83" s="78">
        <f t="shared" ref="I83:J83" si="95">I95</f>
        <v>10.66</v>
      </c>
      <c r="J83" s="78">
        <f t="shared" si="95"/>
        <v>124.26999999999998</v>
      </c>
      <c r="K83" s="30">
        <v>1</v>
      </c>
      <c r="L83" s="30">
        <v>2656</v>
      </c>
      <c r="M83" s="30">
        <v>81</v>
      </c>
      <c r="N83" s="81">
        <v>0</v>
      </c>
      <c r="O83" s="30">
        <f t="shared" si="80"/>
        <v>6853169.8101892723</v>
      </c>
      <c r="P83" s="30">
        <f t="shared" si="74"/>
        <v>6427842.9980169889</v>
      </c>
      <c r="Q83" s="30">
        <f t="shared" si="75"/>
        <v>-118055.05499505717</v>
      </c>
      <c r="R83" s="48">
        <f t="shared" si="76"/>
        <v>1.6934621573412068E-2</v>
      </c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H83" s="5">
        <f>SUM(U83:AF83)</f>
        <v>0</v>
      </c>
    </row>
    <row r="84" spans="1:34" x14ac:dyDescent="0.2">
      <c r="A84" s="2">
        <v>43009</v>
      </c>
      <c r="B84">
        <f t="shared" si="77"/>
        <v>2017</v>
      </c>
      <c r="C84">
        <f t="shared" si="78"/>
        <v>10</v>
      </c>
      <c r="D84" s="88">
        <v>5870284.5879518026</v>
      </c>
      <c r="E84" s="88">
        <v>425326.81217228295</v>
      </c>
      <c r="F84" s="88">
        <v>6295611.4001240861</v>
      </c>
      <c r="G84" s="78">
        <v>70.000000000000014</v>
      </c>
      <c r="H84" s="78">
        <v>48.1</v>
      </c>
      <c r="I84" s="78">
        <f t="shared" ref="I84:J84" si="96">I96</f>
        <v>118.80999999999999</v>
      </c>
      <c r="J84" s="78">
        <f t="shared" si="96"/>
        <v>23.209999999999997</v>
      </c>
      <c r="K84" s="30">
        <v>1</v>
      </c>
      <c r="L84" s="30">
        <v>2655</v>
      </c>
      <c r="M84" s="30">
        <v>82</v>
      </c>
      <c r="N84" s="81">
        <v>0</v>
      </c>
      <c r="O84" s="30">
        <f t="shared" si="80"/>
        <v>6339946.4674176546</v>
      </c>
      <c r="P84" s="30">
        <f t="shared" si="74"/>
        <v>5914619.6552453712</v>
      </c>
      <c r="Q84" s="30">
        <f t="shared" si="75"/>
        <v>44335.067293568514</v>
      </c>
      <c r="R84" s="48">
        <f t="shared" si="76"/>
        <v>7.0422179000271005E-3</v>
      </c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H84" s="5">
        <f t="shared" ref="AH84:AH93" si="97">SUM(U84:AF84)</f>
        <v>0</v>
      </c>
    </row>
    <row r="85" spans="1:34" x14ac:dyDescent="0.2">
      <c r="A85" s="2">
        <v>43040</v>
      </c>
      <c r="B85">
        <f t="shared" si="77"/>
        <v>2017</v>
      </c>
      <c r="C85">
        <f t="shared" si="78"/>
        <v>11</v>
      </c>
      <c r="D85" s="88">
        <v>6629922.1975903567</v>
      </c>
      <c r="E85" s="88">
        <v>425326.81217228295</v>
      </c>
      <c r="F85" s="88">
        <v>7055249.0097626392</v>
      </c>
      <c r="G85" s="78">
        <v>309.40000000000003</v>
      </c>
      <c r="H85" s="78">
        <v>0</v>
      </c>
      <c r="I85" s="78">
        <f t="shared" ref="I85:J85" si="98">I97</f>
        <v>307.13</v>
      </c>
      <c r="J85" s="78">
        <f t="shared" si="98"/>
        <v>0.89</v>
      </c>
      <c r="K85" s="30">
        <v>1</v>
      </c>
      <c r="L85" s="30">
        <v>2671</v>
      </c>
      <c r="M85" s="30">
        <v>83</v>
      </c>
      <c r="N85" s="81">
        <v>0</v>
      </c>
      <c r="O85" s="30">
        <f t="shared" si="80"/>
        <v>7051858.7985970443</v>
      </c>
      <c r="P85" s="30">
        <f t="shared" si="74"/>
        <v>6626531.9864247609</v>
      </c>
      <c r="Q85" s="30">
        <f t="shared" si="75"/>
        <v>-3390.2111655948684</v>
      </c>
      <c r="R85" s="48">
        <f t="shared" si="76"/>
        <v>4.8052324742949443E-4</v>
      </c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H85" s="5">
        <f t="shared" si="97"/>
        <v>0</v>
      </c>
    </row>
    <row r="86" spans="1:34" x14ac:dyDescent="0.2">
      <c r="A86" s="2">
        <v>43070</v>
      </c>
      <c r="B86">
        <f t="shared" si="77"/>
        <v>2017</v>
      </c>
      <c r="C86">
        <f t="shared" si="78"/>
        <v>12</v>
      </c>
      <c r="D86" s="88">
        <v>7447066.4385542134</v>
      </c>
      <c r="E86" s="88">
        <v>425326.81217228295</v>
      </c>
      <c r="F86" s="88">
        <v>7872393.2507264968</v>
      </c>
      <c r="G86" s="78">
        <v>594.49999999999989</v>
      </c>
      <c r="H86" s="78">
        <v>0</v>
      </c>
      <c r="I86" s="78">
        <f t="shared" ref="I86:J86" si="99">I98</f>
        <v>451.35999999999996</v>
      </c>
      <c r="J86" s="78">
        <f t="shared" si="99"/>
        <v>0</v>
      </c>
      <c r="K86" s="30">
        <v>0</v>
      </c>
      <c r="L86" s="30">
        <v>2668</v>
      </c>
      <c r="M86" s="30">
        <v>84</v>
      </c>
      <c r="N86" s="81">
        <v>0</v>
      </c>
      <c r="O86" s="30">
        <f t="shared" si="80"/>
        <v>7379993.7330338135</v>
      </c>
      <c r="P86" s="30">
        <f t="shared" si="74"/>
        <v>6954666.920861531</v>
      </c>
      <c r="Q86" s="30">
        <f t="shared" si="75"/>
        <v>-492399.51769268326</v>
      </c>
      <c r="R86" s="48">
        <f t="shared" si="76"/>
        <v>6.2547627133240913E-2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H86" s="5">
        <f t="shared" si="97"/>
        <v>0</v>
      </c>
    </row>
    <row r="87" spans="1:34" x14ac:dyDescent="0.2">
      <c r="A87" s="2">
        <v>43101</v>
      </c>
      <c r="B87">
        <f t="shared" si="77"/>
        <v>2018</v>
      </c>
      <c r="C87">
        <f t="shared" si="78"/>
        <v>1</v>
      </c>
      <c r="D87" s="88">
        <v>8456682.110843366</v>
      </c>
      <c r="E87" s="88">
        <v>516993.78053170216</v>
      </c>
      <c r="F87" s="88">
        <v>8973675.8913750686</v>
      </c>
      <c r="G87" s="78">
        <v>608.29999999999984</v>
      </c>
      <c r="H87" s="78">
        <v>0</v>
      </c>
      <c r="I87" s="78">
        <f t="shared" ref="I87:J87" si="100">I99</f>
        <v>563.5</v>
      </c>
      <c r="J87" s="78">
        <f t="shared" si="100"/>
        <v>0</v>
      </c>
      <c r="K87" s="30">
        <v>0</v>
      </c>
      <c r="L87" s="30">
        <v>2666</v>
      </c>
      <c r="M87" s="30">
        <v>85</v>
      </c>
      <c r="N87" s="81">
        <v>0</v>
      </c>
      <c r="O87" s="30">
        <f t="shared" si="80"/>
        <v>8819564.543096235</v>
      </c>
      <c r="P87" s="30">
        <f t="shared" si="74"/>
        <v>8302570.7625645325</v>
      </c>
      <c r="Q87" s="30">
        <f t="shared" si="75"/>
        <v>-154111.34827883355</v>
      </c>
      <c r="R87" s="48">
        <f t="shared" si="76"/>
        <v>1.7173714556256225E-2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H87" s="5">
        <f t="shared" si="97"/>
        <v>0</v>
      </c>
    </row>
    <row r="88" spans="1:34" x14ac:dyDescent="0.2">
      <c r="A88" s="2">
        <v>43132</v>
      </c>
      <c r="B88">
        <f t="shared" si="77"/>
        <v>2018</v>
      </c>
      <c r="C88">
        <f t="shared" si="78"/>
        <v>2</v>
      </c>
      <c r="D88" s="88">
        <v>7043598.3132530134</v>
      </c>
      <c r="E88" s="88">
        <v>516993.78053170216</v>
      </c>
      <c r="F88" s="88">
        <v>7560592.093784716</v>
      </c>
      <c r="G88" s="78">
        <v>443.00000000000011</v>
      </c>
      <c r="H88" s="78">
        <v>0</v>
      </c>
      <c r="I88" s="78">
        <f t="shared" ref="I88:J88" si="101">I100</f>
        <v>516.6099999999999</v>
      </c>
      <c r="J88" s="78">
        <f t="shared" si="101"/>
        <v>0</v>
      </c>
      <c r="K88" s="30">
        <v>0</v>
      </c>
      <c r="L88" s="30">
        <v>2673</v>
      </c>
      <c r="M88" s="30">
        <v>86</v>
      </c>
      <c r="N88" s="81">
        <v>0</v>
      </c>
      <c r="O88" s="30">
        <f t="shared" si="80"/>
        <v>7813809.4229544681</v>
      </c>
      <c r="P88" s="30">
        <f t="shared" si="74"/>
        <v>7296815.6424227655</v>
      </c>
      <c r="Q88" s="30">
        <f t="shared" si="75"/>
        <v>253217.32916975208</v>
      </c>
      <c r="R88" s="48">
        <f t="shared" si="76"/>
        <v>3.3491732661772973E-2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H88" s="5">
        <f t="shared" si="97"/>
        <v>0</v>
      </c>
    </row>
    <row r="89" spans="1:34" x14ac:dyDescent="0.2">
      <c r="A89" s="2">
        <v>43160</v>
      </c>
      <c r="B89">
        <f t="shared" si="77"/>
        <v>2018</v>
      </c>
      <c r="C89">
        <f t="shared" si="78"/>
        <v>3</v>
      </c>
      <c r="D89" s="88">
        <v>7715573.493975902</v>
      </c>
      <c r="E89" s="88">
        <v>516993.78053170216</v>
      </c>
      <c r="F89" s="88">
        <v>8232567.2745076045</v>
      </c>
      <c r="G89" s="78">
        <v>430</v>
      </c>
      <c r="H89" s="78">
        <v>0</v>
      </c>
      <c r="I89" s="78">
        <f t="shared" ref="I89:J89" si="102">I101</f>
        <v>409.90999999999997</v>
      </c>
      <c r="J89" s="78">
        <f t="shared" si="102"/>
        <v>1.1599999999999999</v>
      </c>
      <c r="K89" s="30">
        <v>0</v>
      </c>
      <c r="L89" s="30">
        <v>2677</v>
      </c>
      <c r="M89" s="30">
        <v>87</v>
      </c>
      <c r="N89" s="81">
        <v>0</v>
      </c>
      <c r="O89" s="30">
        <f t="shared" si="80"/>
        <v>8169216.9833276747</v>
      </c>
      <c r="P89" s="30">
        <f t="shared" si="74"/>
        <v>7652223.2027959721</v>
      </c>
      <c r="Q89" s="30">
        <f t="shared" si="75"/>
        <v>-63350.29117992986</v>
      </c>
      <c r="R89" s="48">
        <f t="shared" si="76"/>
        <v>7.6950833279062249E-3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H89" s="5">
        <f t="shared" si="97"/>
        <v>0</v>
      </c>
    </row>
    <row r="90" spans="1:34" x14ac:dyDescent="0.2">
      <c r="A90" s="2">
        <v>43191</v>
      </c>
      <c r="B90">
        <f t="shared" si="77"/>
        <v>2018</v>
      </c>
      <c r="C90">
        <f t="shared" si="78"/>
        <v>4</v>
      </c>
      <c r="D90" s="88">
        <v>6658362.8048192756</v>
      </c>
      <c r="E90" s="88">
        <v>516993.78053170216</v>
      </c>
      <c r="F90" s="88">
        <v>7175356.5853509782</v>
      </c>
      <c r="G90" s="78">
        <v>317.2</v>
      </c>
      <c r="H90" s="78">
        <v>0</v>
      </c>
      <c r="I90" s="78">
        <f t="shared" ref="I90:J90" si="103">I102</f>
        <v>227.5</v>
      </c>
      <c r="J90" s="78">
        <f t="shared" si="103"/>
        <v>2.3099999999999996</v>
      </c>
      <c r="K90" s="30">
        <v>0</v>
      </c>
      <c r="L90" s="30">
        <v>2679</v>
      </c>
      <c r="M90" s="30">
        <v>88</v>
      </c>
      <c r="N90" s="81">
        <v>0</v>
      </c>
      <c r="O90" s="30">
        <f t="shared" si="80"/>
        <v>6878258.276681249</v>
      </c>
      <c r="P90" s="30">
        <f t="shared" si="74"/>
        <v>6361264.4961495465</v>
      </c>
      <c r="Q90" s="30">
        <f t="shared" si="75"/>
        <v>-297098.30866972916</v>
      </c>
      <c r="R90" s="48">
        <f t="shared" si="76"/>
        <v>4.1405372002874023E-2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H90" s="5">
        <f t="shared" si="97"/>
        <v>0</v>
      </c>
    </row>
    <row r="91" spans="1:34" x14ac:dyDescent="0.2">
      <c r="A91" s="2">
        <v>43221</v>
      </c>
      <c r="B91">
        <f t="shared" si="77"/>
        <v>2018</v>
      </c>
      <c r="C91">
        <f t="shared" si="78"/>
        <v>5</v>
      </c>
      <c r="D91" s="88">
        <v>6587285.6771084294</v>
      </c>
      <c r="E91" s="88">
        <v>516993.78053170216</v>
      </c>
      <c r="F91" s="88">
        <v>7104279.4576401319</v>
      </c>
      <c r="G91" s="78">
        <v>15</v>
      </c>
      <c r="H91" s="78">
        <v>107.10000000000001</v>
      </c>
      <c r="I91" s="78">
        <f t="shared" ref="I91:J91" si="104">I103</f>
        <v>59.269999999999982</v>
      </c>
      <c r="J91" s="78">
        <f t="shared" si="104"/>
        <v>70.86</v>
      </c>
      <c r="K91" s="30">
        <v>0</v>
      </c>
      <c r="L91" s="30">
        <v>2673</v>
      </c>
      <c r="M91" s="30">
        <v>89</v>
      </c>
      <c r="N91" s="81">
        <v>0</v>
      </c>
      <c r="O91" s="30">
        <f t="shared" si="80"/>
        <v>7076647.9927029619</v>
      </c>
      <c r="P91" s="30">
        <f t="shared" si="74"/>
        <v>6559654.2121712593</v>
      </c>
      <c r="Q91" s="30">
        <f t="shared" si="75"/>
        <v>-27631.464937170036</v>
      </c>
      <c r="R91" s="48">
        <f t="shared" si="76"/>
        <v>3.8894113191809227E-3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H91" s="5">
        <f t="shared" si="97"/>
        <v>0</v>
      </c>
    </row>
    <row r="92" spans="1:34" x14ac:dyDescent="0.2">
      <c r="A92" s="2">
        <v>43252</v>
      </c>
      <c r="B92">
        <f t="shared" si="77"/>
        <v>2018</v>
      </c>
      <c r="C92">
        <f t="shared" si="78"/>
        <v>6</v>
      </c>
      <c r="D92" s="88">
        <v>7073215.3156626513</v>
      </c>
      <c r="E92" s="88">
        <v>516993.78053170216</v>
      </c>
      <c r="F92" s="88">
        <v>7590209.0961943539</v>
      </c>
      <c r="G92" s="78">
        <v>1.6999999999999993</v>
      </c>
      <c r="H92" s="78">
        <v>167.39999999999998</v>
      </c>
      <c r="I92" s="78">
        <f t="shared" ref="I92:J92" si="105">I104</f>
        <v>1.85</v>
      </c>
      <c r="J92" s="78">
        <f t="shared" si="105"/>
        <v>171.74</v>
      </c>
      <c r="K92" s="30">
        <v>0</v>
      </c>
      <c r="L92" s="30">
        <v>2677</v>
      </c>
      <c r="M92" s="30">
        <v>90</v>
      </c>
      <c r="N92" s="81">
        <v>0</v>
      </c>
      <c r="O92" s="30">
        <f t="shared" si="80"/>
        <v>7612271.7594322097</v>
      </c>
      <c r="P92" s="30">
        <f t="shared" si="74"/>
        <v>7095277.9789005071</v>
      </c>
      <c r="Q92" s="30">
        <f t="shared" si="75"/>
        <v>22062.66323785577</v>
      </c>
      <c r="R92" s="48">
        <f t="shared" si="76"/>
        <v>2.9067266735665746E-3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H92" s="5">
        <f t="shared" si="97"/>
        <v>0</v>
      </c>
    </row>
    <row r="93" spans="1:34" x14ac:dyDescent="0.2">
      <c r="A93" s="2">
        <v>43282</v>
      </c>
      <c r="B93">
        <f t="shared" si="77"/>
        <v>2018</v>
      </c>
      <c r="C93">
        <f t="shared" si="78"/>
        <v>7</v>
      </c>
      <c r="D93" s="88">
        <v>7168019.7397590335</v>
      </c>
      <c r="E93" s="88">
        <v>516993.78053170216</v>
      </c>
      <c r="F93" s="88">
        <v>7685013.5202907361</v>
      </c>
      <c r="G93" s="78">
        <v>0</v>
      </c>
      <c r="H93" s="78">
        <v>291.79999999999995</v>
      </c>
      <c r="I93" s="78">
        <f t="shared" ref="I93:J93" si="106">I105</f>
        <v>0</v>
      </c>
      <c r="J93" s="78">
        <f t="shared" si="106"/>
        <v>269.41000000000003</v>
      </c>
      <c r="K93" s="30">
        <v>0</v>
      </c>
      <c r="L93" s="30">
        <v>2686</v>
      </c>
      <c r="M93" s="30">
        <v>91</v>
      </c>
      <c r="N93" s="81">
        <v>0</v>
      </c>
      <c r="O93" s="30">
        <f t="shared" si="80"/>
        <v>7573854.5712693427</v>
      </c>
      <c r="P93" s="30">
        <f t="shared" si="74"/>
        <v>7056860.7907376401</v>
      </c>
      <c r="Q93" s="30">
        <f t="shared" si="75"/>
        <v>-111158.94902139343</v>
      </c>
      <c r="R93" s="48">
        <f t="shared" si="76"/>
        <v>1.4464379109796038E-2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H93" s="5">
        <f t="shared" si="97"/>
        <v>0</v>
      </c>
    </row>
    <row r="94" spans="1:34" x14ac:dyDescent="0.2">
      <c r="A94" s="2">
        <v>43313</v>
      </c>
      <c r="B94">
        <f t="shared" si="77"/>
        <v>2018</v>
      </c>
      <c r="C94">
        <f t="shared" si="78"/>
        <v>8</v>
      </c>
      <c r="D94" s="88">
        <v>7788838.81445783</v>
      </c>
      <c r="E94" s="88">
        <v>516993.78053170216</v>
      </c>
      <c r="F94" s="88">
        <v>8305832.5949895326</v>
      </c>
      <c r="G94" s="78">
        <v>0</v>
      </c>
      <c r="H94" s="78">
        <v>285.2</v>
      </c>
      <c r="I94" s="78">
        <f t="shared" ref="I94:J94" si="107">I106</f>
        <v>0</v>
      </c>
      <c r="J94" s="78">
        <f t="shared" si="107"/>
        <v>242.46000000000004</v>
      </c>
      <c r="K94" s="30">
        <v>0</v>
      </c>
      <c r="L94" s="30">
        <v>2693</v>
      </c>
      <c r="M94" s="30">
        <v>92</v>
      </c>
      <c r="N94" s="81">
        <v>0</v>
      </c>
      <c r="O94" s="30">
        <f t="shared" si="80"/>
        <v>8093642.6226280155</v>
      </c>
      <c r="P94" s="30">
        <f t="shared" si="74"/>
        <v>7576648.8420963129</v>
      </c>
      <c r="Q94" s="30">
        <f t="shared" si="75"/>
        <v>-212189.97236151714</v>
      </c>
      <c r="R94" s="48">
        <f t="shared" si="76"/>
        <v>2.5547104391379145E-2</v>
      </c>
    </row>
    <row r="95" spans="1:34" x14ac:dyDescent="0.2">
      <c r="A95" s="2">
        <v>43344</v>
      </c>
      <c r="B95">
        <f t="shared" si="77"/>
        <v>2018</v>
      </c>
      <c r="C95">
        <f t="shared" si="78"/>
        <v>9</v>
      </c>
      <c r="D95" s="88">
        <v>6718606.6602409622</v>
      </c>
      <c r="E95" s="88">
        <v>516993.78053170216</v>
      </c>
      <c r="F95" s="88">
        <v>7235600.4407726647</v>
      </c>
      <c r="G95" s="78">
        <v>8.7000000000000011</v>
      </c>
      <c r="H95" s="78">
        <v>158.5</v>
      </c>
      <c r="I95" s="78">
        <f t="shared" ref="I95:J95" si="108">I107</f>
        <v>10.66</v>
      </c>
      <c r="J95" s="78">
        <f t="shared" si="108"/>
        <v>124.26999999999998</v>
      </c>
      <c r="K95" s="30">
        <v>1</v>
      </c>
      <c r="L95" s="30">
        <v>2702</v>
      </c>
      <c r="M95" s="30">
        <v>93</v>
      </c>
      <c r="N95" s="81">
        <v>0</v>
      </c>
      <c r="O95" s="30">
        <f t="shared" si="80"/>
        <v>7072402.1769314893</v>
      </c>
      <c r="P95" s="30">
        <f t="shared" si="74"/>
        <v>6555408.3963997867</v>
      </c>
      <c r="Q95" s="30">
        <f t="shared" si="75"/>
        <v>-163198.26384117547</v>
      </c>
      <c r="R95" s="48">
        <f t="shared" si="76"/>
        <v>2.2554902689423256E-2</v>
      </c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</row>
    <row r="96" spans="1:34" x14ac:dyDescent="0.2">
      <c r="A96" s="2">
        <v>43374</v>
      </c>
      <c r="B96">
        <f t="shared" si="77"/>
        <v>2018</v>
      </c>
      <c r="C96">
        <f t="shared" si="78"/>
        <v>10</v>
      </c>
      <c r="D96" s="88">
        <v>6341396.2313253004</v>
      </c>
      <c r="E96" s="88">
        <v>516993.78053170216</v>
      </c>
      <c r="F96" s="88">
        <v>6858390.011857003</v>
      </c>
      <c r="G96" s="78">
        <v>175.3</v>
      </c>
      <c r="H96" s="78">
        <v>18.100000000000001</v>
      </c>
      <c r="I96" s="78">
        <f t="shared" ref="I96:J96" si="109">I108</f>
        <v>118.80999999999999</v>
      </c>
      <c r="J96" s="78">
        <f t="shared" si="109"/>
        <v>23.209999999999997</v>
      </c>
      <c r="K96" s="30">
        <v>1</v>
      </c>
      <c r="L96" s="30">
        <v>2700</v>
      </c>
      <c r="M96" s="30">
        <v>94</v>
      </c>
      <c r="N96" s="81">
        <v>0</v>
      </c>
      <c r="O96" s="30">
        <f t="shared" si="80"/>
        <v>6689434.694534353</v>
      </c>
      <c r="P96" s="30">
        <f t="shared" si="74"/>
        <v>6172440.9140026504</v>
      </c>
      <c r="Q96" s="30">
        <f t="shared" si="75"/>
        <v>-168955.31732264999</v>
      </c>
      <c r="R96" s="48">
        <f t="shared" si="76"/>
        <v>2.4634836606048163E-2</v>
      </c>
    </row>
    <row r="97" spans="1:39" x14ac:dyDescent="0.2">
      <c r="A97" s="2">
        <v>43405</v>
      </c>
      <c r="B97">
        <f t="shared" si="77"/>
        <v>2018</v>
      </c>
      <c r="C97">
        <f t="shared" si="78"/>
        <v>11</v>
      </c>
      <c r="D97" s="88">
        <v>6327373.6674698787</v>
      </c>
      <c r="E97" s="88">
        <v>516993.78053170216</v>
      </c>
      <c r="F97" s="88">
        <v>6844367.4480015812</v>
      </c>
      <c r="G97" s="78">
        <v>374.10000000000008</v>
      </c>
      <c r="H97" s="78">
        <v>0</v>
      </c>
      <c r="I97" s="78">
        <f t="shared" ref="I97:J97" si="110">I109</f>
        <v>307.13</v>
      </c>
      <c r="J97" s="78">
        <f t="shared" si="110"/>
        <v>0.89</v>
      </c>
      <c r="K97" s="30">
        <v>1</v>
      </c>
      <c r="L97" s="30">
        <v>2703</v>
      </c>
      <c r="M97" s="30">
        <v>95</v>
      </c>
      <c r="N97" s="81">
        <v>0</v>
      </c>
      <c r="O97" s="30">
        <f t="shared" si="80"/>
        <v>6618410.1780493679</v>
      </c>
      <c r="P97" s="30">
        <f t="shared" si="74"/>
        <v>6101416.3975176653</v>
      </c>
      <c r="Q97" s="30">
        <f t="shared" si="75"/>
        <v>-225957.26995221339</v>
      </c>
      <c r="R97" s="48">
        <f t="shared" si="76"/>
        <v>3.3013608878960522E-2</v>
      </c>
    </row>
    <row r="98" spans="1:39" x14ac:dyDescent="0.2">
      <c r="A98" s="2">
        <v>43435</v>
      </c>
      <c r="B98">
        <f t="shared" si="77"/>
        <v>2018</v>
      </c>
      <c r="C98">
        <f t="shared" si="78"/>
        <v>12</v>
      </c>
      <c r="D98" s="88">
        <v>8214792.0096385563</v>
      </c>
      <c r="E98" s="88">
        <v>516993.78053170216</v>
      </c>
      <c r="F98" s="88">
        <v>8731785.7901702579</v>
      </c>
      <c r="G98" s="78">
        <v>439.59999999999997</v>
      </c>
      <c r="H98" s="78">
        <v>0</v>
      </c>
      <c r="I98" s="78">
        <f t="shared" ref="I98:J98" si="111">I110</f>
        <v>451.35999999999996</v>
      </c>
      <c r="J98" s="78">
        <f t="shared" si="111"/>
        <v>0</v>
      </c>
      <c r="K98" s="30">
        <v>0</v>
      </c>
      <c r="L98" s="30">
        <v>2702</v>
      </c>
      <c r="M98" s="30">
        <v>96</v>
      </c>
      <c r="N98" s="81">
        <v>0</v>
      </c>
      <c r="O98" s="30">
        <f t="shared" si="80"/>
        <v>8772240.019093452</v>
      </c>
      <c r="P98" s="30">
        <f t="shared" si="74"/>
        <v>8255246.2385617495</v>
      </c>
      <c r="Q98" s="30">
        <f t="shared" si="75"/>
        <v>40454.22892319411</v>
      </c>
      <c r="R98" s="48">
        <f t="shared" si="76"/>
        <v>4.6329845801686012E-3</v>
      </c>
    </row>
    <row r="99" spans="1:39" s="8" customFormat="1" x14ac:dyDescent="0.2">
      <c r="A99" s="2">
        <v>43466</v>
      </c>
      <c r="B99">
        <f t="shared" si="77"/>
        <v>2019</v>
      </c>
      <c r="C99">
        <f t="shared" si="78"/>
        <v>1</v>
      </c>
      <c r="D99" s="88">
        <v>8493510.5734939743</v>
      </c>
      <c r="E99" s="88">
        <v>606940.22447486676</v>
      </c>
      <c r="F99" s="88">
        <v>9100450.7979688402</v>
      </c>
      <c r="G99" s="78">
        <v>640.5</v>
      </c>
      <c r="H99" s="78">
        <v>0</v>
      </c>
      <c r="I99" s="78">
        <f t="shared" ref="I99:J99" si="112">I111</f>
        <v>563.5</v>
      </c>
      <c r="J99" s="78">
        <f t="shared" si="112"/>
        <v>0</v>
      </c>
      <c r="K99" s="30">
        <v>0</v>
      </c>
      <c r="L99" s="30">
        <v>2692</v>
      </c>
      <c r="M99" s="30">
        <v>97</v>
      </c>
      <c r="N99" s="81">
        <v>0</v>
      </c>
      <c r="O99" s="30">
        <f t="shared" si="80"/>
        <v>8835571.9181145951</v>
      </c>
      <c r="P99" s="30">
        <f t="shared" ref="P99:P127" si="113">O99-E99</f>
        <v>8228631.6936397282</v>
      </c>
      <c r="Q99" s="30">
        <f t="shared" ref="Q99:Q127" si="114">+O99-F99</f>
        <v>-264878.87985424511</v>
      </c>
      <c r="R99" s="48">
        <f t="shared" ref="R99:R127" si="115">ABS(Q99/F99)</f>
        <v>2.9106127348478637E-2</v>
      </c>
      <c r="S99"/>
      <c r="T99"/>
      <c r="U99"/>
      <c r="V99"/>
      <c r="W99"/>
      <c r="X99"/>
      <c r="Y99"/>
      <c r="Z99"/>
      <c r="AA99"/>
      <c r="AB99"/>
      <c r="AC99"/>
      <c r="AD99"/>
      <c r="AE99" s="37"/>
      <c r="AF99" s="37"/>
      <c r="AG99" s="37"/>
      <c r="AH99" s="37"/>
      <c r="AI99" s="37"/>
      <c r="AJ99" s="37"/>
      <c r="AK99" s="37"/>
      <c r="AL99" s="37"/>
      <c r="AM99" s="37"/>
    </row>
    <row r="100" spans="1:39" x14ac:dyDescent="0.2">
      <c r="A100" s="2">
        <v>43497</v>
      </c>
      <c r="B100">
        <f t="shared" si="77"/>
        <v>2019</v>
      </c>
      <c r="C100">
        <f t="shared" si="78"/>
        <v>2</v>
      </c>
      <c r="D100" s="88">
        <v>7650394.8433734914</v>
      </c>
      <c r="E100" s="88">
        <v>606940.22447486676</v>
      </c>
      <c r="F100" s="88">
        <v>8257335.0678483583</v>
      </c>
      <c r="G100" s="78">
        <v>509.70000000000005</v>
      </c>
      <c r="H100" s="78">
        <v>0</v>
      </c>
      <c r="I100" s="78">
        <f t="shared" ref="I100:J100" si="116">I112</f>
        <v>516.6099999999999</v>
      </c>
      <c r="J100" s="78">
        <f t="shared" si="116"/>
        <v>0</v>
      </c>
      <c r="K100" s="30">
        <v>0</v>
      </c>
      <c r="L100" s="30">
        <v>2696</v>
      </c>
      <c r="M100" s="30">
        <v>98</v>
      </c>
      <c r="N100" s="81">
        <v>0</v>
      </c>
      <c r="O100" s="30">
        <f t="shared" si="80"/>
        <v>8281105.367326187</v>
      </c>
      <c r="P100" s="30">
        <f t="shared" si="113"/>
        <v>7674165.1428513201</v>
      </c>
      <c r="Q100" s="30">
        <f t="shared" si="114"/>
        <v>23770.299477828667</v>
      </c>
      <c r="R100" s="48">
        <f t="shared" si="115"/>
        <v>2.8786889816768179E-3</v>
      </c>
    </row>
    <row r="101" spans="1:39" x14ac:dyDescent="0.2">
      <c r="A101" s="2">
        <v>43525</v>
      </c>
      <c r="B101">
        <f t="shared" si="77"/>
        <v>2019</v>
      </c>
      <c r="C101">
        <f t="shared" si="78"/>
        <v>3</v>
      </c>
      <c r="D101" s="88">
        <v>7603009.9566265009</v>
      </c>
      <c r="E101" s="88">
        <v>606940.22447486676</v>
      </c>
      <c r="F101" s="88">
        <v>8209950.1811013678</v>
      </c>
      <c r="G101" s="78">
        <v>469.9</v>
      </c>
      <c r="H101" s="78">
        <v>0</v>
      </c>
      <c r="I101" s="78">
        <f t="shared" ref="I101:J101" si="117">I113</f>
        <v>409.90999999999997</v>
      </c>
      <c r="J101" s="78">
        <f t="shared" si="117"/>
        <v>1.1599999999999999</v>
      </c>
      <c r="K101" s="30">
        <v>0</v>
      </c>
      <c r="L101" s="30">
        <v>2699</v>
      </c>
      <c r="M101" s="30">
        <v>99</v>
      </c>
      <c r="N101" s="81">
        <v>0</v>
      </c>
      <c r="O101" s="30">
        <f t="shared" si="80"/>
        <v>8009344.4703606023</v>
      </c>
      <c r="P101" s="30">
        <f t="shared" si="113"/>
        <v>7402404.2458857354</v>
      </c>
      <c r="Q101" s="30">
        <f t="shared" si="114"/>
        <v>-200605.71074076556</v>
      </c>
      <c r="R101" s="48">
        <f t="shared" si="115"/>
        <v>2.4434461393266851E-2</v>
      </c>
    </row>
    <row r="102" spans="1:39" x14ac:dyDescent="0.2">
      <c r="A102" s="2">
        <v>43556</v>
      </c>
      <c r="B102">
        <f t="shared" si="77"/>
        <v>2019</v>
      </c>
      <c r="C102">
        <f t="shared" si="78"/>
        <v>4</v>
      </c>
      <c r="D102" s="88">
        <v>6777657.9951807288</v>
      </c>
      <c r="E102" s="88">
        <v>606940.22447486676</v>
      </c>
      <c r="F102" s="88">
        <v>7384598.2196555957</v>
      </c>
      <c r="G102" s="78">
        <v>226.80000000000004</v>
      </c>
      <c r="H102" s="78">
        <v>0</v>
      </c>
      <c r="I102" s="78">
        <f t="shared" ref="I102:J102" si="118">I114</f>
        <v>227.5</v>
      </c>
      <c r="J102" s="78">
        <f t="shared" si="118"/>
        <v>2.3099999999999996</v>
      </c>
      <c r="K102" s="30">
        <v>0</v>
      </c>
      <c r="L102" s="30">
        <v>2695</v>
      </c>
      <c r="M102" s="30">
        <v>100</v>
      </c>
      <c r="N102" s="81">
        <v>0</v>
      </c>
      <c r="O102" s="30">
        <f t="shared" si="80"/>
        <v>7398474.5959056551</v>
      </c>
      <c r="P102" s="30">
        <f t="shared" si="113"/>
        <v>6791534.3714307882</v>
      </c>
      <c r="Q102" s="30">
        <f t="shared" si="114"/>
        <v>13876.376250059344</v>
      </c>
      <c r="R102" s="48">
        <f t="shared" si="115"/>
        <v>1.8790969850092281E-3</v>
      </c>
    </row>
    <row r="103" spans="1:39" x14ac:dyDescent="0.2">
      <c r="A103" s="2">
        <v>43586</v>
      </c>
      <c r="B103">
        <f t="shared" si="77"/>
        <v>2019</v>
      </c>
      <c r="C103">
        <f t="shared" si="78"/>
        <v>5</v>
      </c>
      <c r="D103" s="88">
        <v>6404967.7975903675</v>
      </c>
      <c r="E103" s="88">
        <v>606940.22447486676</v>
      </c>
      <c r="F103" s="88">
        <v>7011908.0220652344</v>
      </c>
      <c r="G103" s="78">
        <v>87.700000000000017</v>
      </c>
      <c r="H103" s="78">
        <v>18.7</v>
      </c>
      <c r="I103" s="78">
        <f t="shared" ref="I103:J103" si="119">I115</f>
        <v>59.269999999999982</v>
      </c>
      <c r="J103" s="78">
        <f t="shared" si="119"/>
        <v>70.86</v>
      </c>
      <c r="K103" s="30">
        <v>0</v>
      </c>
      <c r="L103" s="30">
        <v>2691</v>
      </c>
      <c r="M103" s="30">
        <v>101</v>
      </c>
      <c r="N103" s="81">
        <v>0</v>
      </c>
      <c r="O103" s="30">
        <f t="shared" si="80"/>
        <v>7173066.3942419402</v>
      </c>
      <c r="P103" s="30">
        <f t="shared" si="113"/>
        <v>6566126.1697670734</v>
      </c>
      <c r="Q103" s="30">
        <f t="shared" si="114"/>
        <v>161158.37217670586</v>
      </c>
      <c r="R103" s="48">
        <f t="shared" si="115"/>
        <v>2.2983526262690408E-2</v>
      </c>
    </row>
    <row r="104" spans="1:39" x14ac:dyDescent="0.2">
      <c r="A104" s="2">
        <v>43617</v>
      </c>
      <c r="B104">
        <f t="shared" si="77"/>
        <v>2019</v>
      </c>
      <c r="C104">
        <f t="shared" si="78"/>
        <v>6</v>
      </c>
      <c r="D104" s="88">
        <v>6035483.3349397592</v>
      </c>
      <c r="E104" s="88">
        <v>606940.22447486676</v>
      </c>
      <c r="F104" s="88">
        <v>6642423.5594146261</v>
      </c>
      <c r="G104" s="78">
        <v>4.2000000000000011</v>
      </c>
      <c r="H104" s="78">
        <v>130</v>
      </c>
      <c r="I104" s="78">
        <f t="shared" ref="I104:J104" si="120">I116</f>
        <v>1.85</v>
      </c>
      <c r="J104" s="78">
        <f t="shared" si="120"/>
        <v>171.74</v>
      </c>
      <c r="K104" s="30">
        <v>0</v>
      </c>
      <c r="L104" s="30">
        <v>2687</v>
      </c>
      <c r="M104" s="30">
        <v>102</v>
      </c>
      <c r="N104" s="81">
        <v>0</v>
      </c>
      <c r="O104" s="30">
        <f t="shared" si="80"/>
        <v>6841564.8965108059</v>
      </c>
      <c r="P104" s="30">
        <f t="shared" si="113"/>
        <v>6234624.6720359391</v>
      </c>
      <c r="Q104" s="30">
        <f t="shared" si="114"/>
        <v>199141.33709617984</v>
      </c>
      <c r="R104" s="48">
        <f t="shared" si="115"/>
        <v>2.9980222627316085E-2</v>
      </c>
    </row>
    <row r="105" spans="1:39" x14ac:dyDescent="0.2">
      <c r="A105" s="2">
        <v>43647</v>
      </c>
      <c r="B105">
        <f t="shared" si="77"/>
        <v>2019</v>
      </c>
      <c r="C105">
        <f t="shared" si="78"/>
        <v>7</v>
      </c>
      <c r="D105" s="88">
        <v>7346858.1783132479</v>
      </c>
      <c r="E105" s="88">
        <v>606940.22447486676</v>
      </c>
      <c r="F105" s="88">
        <v>7953798.4027881147</v>
      </c>
      <c r="G105" s="78">
        <v>0</v>
      </c>
      <c r="H105" s="78">
        <v>290.89999999999992</v>
      </c>
      <c r="I105" s="78">
        <f t="shared" ref="I105:J105" si="121">I117</f>
        <v>0</v>
      </c>
      <c r="J105" s="78">
        <f t="shared" si="121"/>
        <v>269.41000000000003</v>
      </c>
      <c r="K105" s="30">
        <v>0</v>
      </c>
      <c r="L105" s="30">
        <v>2688</v>
      </c>
      <c r="M105" s="30">
        <v>103</v>
      </c>
      <c r="N105" s="81">
        <v>0</v>
      </c>
      <c r="O105" s="30">
        <f t="shared" si="80"/>
        <v>7847107.6562731648</v>
      </c>
      <c r="P105" s="30">
        <f t="shared" si="113"/>
        <v>7240167.4317982979</v>
      </c>
      <c r="Q105" s="30">
        <f t="shared" si="114"/>
        <v>-106690.74651494995</v>
      </c>
      <c r="R105" s="48">
        <f t="shared" si="115"/>
        <v>1.3413810749534551E-2</v>
      </c>
    </row>
    <row r="106" spans="1:39" x14ac:dyDescent="0.2">
      <c r="A106" s="2">
        <v>43678</v>
      </c>
      <c r="B106">
        <f t="shared" si="77"/>
        <v>2019</v>
      </c>
      <c r="C106">
        <f t="shared" si="78"/>
        <v>8</v>
      </c>
      <c r="D106" s="88">
        <v>7213289.7060240963</v>
      </c>
      <c r="E106" s="88">
        <v>606940.22447486676</v>
      </c>
      <c r="F106" s="88">
        <v>7820229.9304989632</v>
      </c>
      <c r="G106" s="78">
        <v>0</v>
      </c>
      <c r="H106" s="78">
        <v>226.40000000000006</v>
      </c>
      <c r="I106" s="78">
        <f t="shared" ref="I106:J106" si="122">I118</f>
        <v>0</v>
      </c>
      <c r="J106" s="78">
        <f t="shared" si="122"/>
        <v>242.46000000000004</v>
      </c>
      <c r="K106" s="30">
        <v>0</v>
      </c>
      <c r="L106" s="30">
        <v>2684</v>
      </c>
      <c r="M106" s="30">
        <v>104</v>
      </c>
      <c r="N106" s="81">
        <v>0</v>
      </c>
      <c r="O106" s="30">
        <f t="shared" si="80"/>
        <v>7899962.5218917094</v>
      </c>
      <c r="P106" s="30">
        <f t="shared" si="113"/>
        <v>7293022.2974168425</v>
      </c>
      <c r="Q106" s="30">
        <f t="shared" si="114"/>
        <v>79732.591392746195</v>
      </c>
      <c r="R106" s="48">
        <f t="shared" si="115"/>
        <v>1.0195683771622674E-2</v>
      </c>
    </row>
    <row r="107" spans="1:39" x14ac:dyDescent="0.2">
      <c r="A107" s="2">
        <v>43709</v>
      </c>
      <c r="B107">
        <f t="shared" si="77"/>
        <v>2019</v>
      </c>
      <c r="C107">
        <f t="shared" si="78"/>
        <v>9</v>
      </c>
      <c r="D107" s="88">
        <v>6412383.0746987946</v>
      </c>
      <c r="E107" s="88">
        <v>606940.22447486676</v>
      </c>
      <c r="F107" s="88">
        <v>7019323.2991736615</v>
      </c>
      <c r="G107" s="78">
        <v>2.5999999999999979</v>
      </c>
      <c r="H107" s="78">
        <v>109.6</v>
      </c>
      <c r="I107" s="78">
        <f t="shared" ref="I107:J107" si="123">I119</f>
        <v>10.66</v>
      </c>
      <c r="J107" s="78">
        <f t="shared" si="123"/>
        <v>124.26999999999998</v>
      </c>
      <c r="K107" s="30">
        <v>1</v>
      </c>
      <c r="L107" s="30">
        <v>2683</v>
      </c>
      <c r="M107" s="30">
        <v>105</v>
      </c>
      <c r="N107" s="81">
        <v>0</v>
      </c>
      <c r="O107" s="30">
        <f t="shared" si="80"/>
        <v>7119881.2827770589</v>
      </c>
      <c r="P107" s="30">
        <f t="shared" si="113"/>
        <v>6512941.058302192</v>
      </c>
      <c r="Q107" s="30">
        <f t="shared" si="114"/>
        <v>100557.98360339738</v>
      </c>
      <c r="R107" s="48">
        <f t="shared" si="115"/>
        <v>1.4325880048185758E-2</v>
      </c>
    </row>
    <row r="108" spans="1:39" x14ac:dyDescent="0.2">
      <c r="A108" s="2">
        <v>43739</v>
      </c>
      <c r="B108">
        <f t="shared" si="77"/>
        <v>2019</v>
      </c>
      <c r="C108">
        <f t="shared" si="78"/>
        <v>10</v>
      </c>
      <c r="D108" s="88">
        <v>6175914.5445783148</v>
      </c>
      <c r="E108" s="88">
        <v>606940.22447486676</v>
      </c>
      <c r="F108" s="88">
        <v>6782854.7690531816</v>
      </c>
      <c r="G108" s="78">
        <v>119.39999999999999</v>
      </c>
      <c r="H108" s="78">
        <v>12.000000000000004</v>
      </c>
      <c r="I108" s="78">
        <f t="shared" ref="I108:J108" si="124">I120</f>
        <v>118.80999999999999</v>
      </c>
      <c r="J108" s="78">
        <f t="shared" si="124"/>
        <v>23.209999999999997</v>
      </c>
      <c r="K108" s="30">
        <v>1</v>
      </c>
      <c r="L108" s="30">
        <v>2694</v>
      </c>
      <c r="M108" s="30">
        <v>106</v>
      </c>
      <c r="N108" s="81">
        <v>0</v>
      </c>
      <c r="O108" s="30">
        <f t="shared" si="80"/>
        <v>6836479.1221885877</v>
      </c>
      <c r="P108" s="30">
        <f t="shared" si="113"/>
        <v>6229538.8977137208</v>
      </c>
      <c r="Q108" s="30">
        <f t="shared" si="114"/>
        <v>53624.35313540604</v>
      </c>
      <c r="R108" s="48">
        <f t="shared" si="115"/>
        <v>7.905867803637414E-3</v>
      </c>
    </row>
    <row r="109" spans="1:39" x14ac:dyDescent="0.2">
      <c r="A109" s="2">
        <v>43770</v>
      </c>
      <c r="B109">
        <f t="shared" si="77"/>
        <v>2019</v>
      </c>
      <c r="C109">
        <f t="shared" si="78"/>
        <v>11</v>
      </c>
      <c r="D109" s="88">
        <v>6158689.3783132555</v>
      </c>
      <c r="E109" s="88">
        <v>606940.22447486676</v>
      </c>
      <c r="F109" s="88">
        <v>6765629.6027881224</v>
      </c>
      <c r="G109" s="78">
        <v>393.30000000000007</v>
      </c>
      <c r="H109" s="78">
        <v>0</v>
      </c>
      <c r="I109" s="78">
        <f t="shared" ref="I109:J109" si="125">I121</f>
        <v>307.13</v>
      </c>
      <c r="J109" s="78">
        <f t="shared" si="125"/>
        <v>0.89</v>
      </c>
      <c r="K109" s="30">
        <v>1</v>
      </c>
      <c r="L109" s="30">
        <v>2694</v>
      </c>
      <c r="M109" s="30">
        <v>107</v>
      </c>
      <c r="N109" s="81">
        <v>0</v>
      </c>
      <c r="O109" s="30">
        <f t="shared" si="80"/>
        <v>6473624.6121449806</v>
      </c>
      <c r="P109" s="30">
        <f t="shared" si="113"/>
        <v>5866684.3876701137</v>
      </c>
      <c r="Q109" s="30">
        <f t="shared" si="114"/>
        <v>-292004.99064314179</v>
      </c>
      <c r="R109" s="48">
        <f t="shared" si="115"/>
        <v>4.316006163311191E-2</v>
      </c>
    </row>
    <row r="110" spans="1:39" x14ac:dyDescent="0.2">
      <c r="A110" s="2">
        <v>43800</v>
      </c>
      <c r="B110">
        <f t="shared" si="77"/>
        <v>2019</v>
      </c>
      <c r="C110">
        <f t="shared" si="78"/>
        <v>12</v>
      </c>
      <c r="D110" s="88">
        <v>7536491.3638554169</v>
      </c>
      <c r="E110" s="88">
        <v>606940.22447486676</v>
      </c>
      <c r="F110" s="88">
        <v>8143431.5883302838</v>
      </c>
      <c r="G110" s="78">
        <v>458.39999999999992</v>
      </c>
      <c r="H110" s="78">
        <v>0</v>
      </c>
      <c r="I110" s="78">
        <f t="shared" ref="I110:J110" si="126">I122</f>
        <v>451.35999999999996</v>
      </c>
      <c r="J110" s="78">
        <f t="shared" si="126"/>
        <v>0</v>
      </c>
      <c r="K110" s="30">
        <v>0</v>
      </c>
      <c r="L110" s="30">
        <v>2697</v>
      </c>
      <c r="M110" s="30">
        <v>108</v>
      </c>
      <c r="N110" s="81">
        <v>0</v>
      </c>
      <c r="O110" s="30">
        <f t="shared" si="80"/>
        <v>8119214.0907436097</v>
      </c>
      <c r="P110" s="30">
        <f t="shared" si="113"/>
        <v>7512273.8662687428</v>
      </c>
      <c r="Q110" s="30">
        <f t="shared" si="114"/>
        <v>-24217.497586674057</v>
      </c>
      <c r="R110" s="48">
        <f t="shared" si="115"/>
        <v>2.9738688566351146E-3</v>
      </c>
    </row>
    <row r="111" spans="1:39" x14ac:dyDescent="0.2">
      <c r="A111" s="2">
        <v>43831</v>
      </c>
      <c r="B111">
        <f t="shared" si="77"/>
        <v>2020</v>
      </c>
      <c r="C111">
        <f t="shared" si="78"/>
        <v>1</v>
      </c>
      <c r="D111" s="88">
        <v>8484041.1759036183</v>
      </c>
      <c r="E111" s="88">
        <v>649812.80140259408</v>
      </c>
      <c r="F111" s="88">
        <v>9133853.9773062132</v>
      </c>
      <c r="G111" s="78">
        <v>481</v>
      </c>
      <c r="H111" s="78">
        <v>0</v>
      </c>
      <c r="I111" s="78">
        <f t="shared" ref="I111:J111" si="127">I123</f>
        <v>563.5</v>
      </c>
      <c r="J111" s="78">
        <f t="shared" si="127"/>
        <v>0</v>
      </c>
      <c r="K111" s="30">
        <v>0</v>
      </c>
      <c r="L111" s="30">
        <v>2693</v>
      </c>
      <c r="M111" s="30">
        <v>109</v>
      </c>
      <c r="N111" s="81">
        <v>0</v>
      </c>
      <c r="O111" s="30">
        <f t="shared" si="80"/>
        <v>9417652.7771500461</v>
      </c>
      <c r="P111" s="30">
        <f t="shared" si="113"/>
        <v>8767839.9757474512</v>
      </c>
      <c r="Q111" s="30">
        <f t="shared" si="114"/>
        <v>283798.79984383285</v>
      </c>
      <c r="R111" s="48">
        <f t="shared" si="115"/>
        <v>3.1071090095041321E-2</v>
      </c>
      <c r="S111" s="11"/>
      <c r="AE111" s="37"/>
      <c r="AF111" s="37"/>
      <c r="AG111" s="37"/>
    </row>
    <row r="112" spans="1:39" x14ac:dyDescent="0.2">
      <c r="A112" s="2">
        <v>43862</v>
      </c>
      <c r="B112">
        <f t="shared" si="77"/>
        <v>2020</v>
      </c>
      <c r="C112">
        <f t="shared" si="78"/>
        <v>2</v>
      </c>
      <c r="D112" s="88">
        <v>7437125.9180722833</v>
      </c>
      <c r="E112" s="88">
        <v>649812.80140259408</v>
      </c>
      <c r="F112" s="88">
        <v>8086938.7194748772</v>
      </c>
      <c r="G112" s="78">
        <v>495.8</v>
      </c>
      <c r="H112" s="78">
        <v>0</v>
      </c>
      <c r="I112" s="78">
        <f t="shared" ref="I112:J112" si="128">I124</f>
        <v>516.6099999999999</v>
      </c>
      <c r="J112" s="78">
        <f t="shared" si="128"/>
        <v>0</v>
      </c>
      <c r="K112" s="30">
        <v>0</v>
      </c>
      <c r="L112" s="30">
        <v>2694</v>
      </c>
      <c r="M112" s="30">
        <v>110</v>
      </c>
      <c r="N112" s="81">
        <v>0</v>
      </c>
      <c r="O112" s="30">
        <f t="shared" si="80"/>
        <v>8158524.8167445762</v>
      </c>
      <c r="P112" s="30">
        <f t="shared" si="113"/>
        <v>7508712.0153419822</v>
      </c>
      <c r="Q112" s="30">
        <f t="shared" si="114"/>
        <v>71586.097269698977</v>
      </c>
      <c r="R112" s="48">
        <f t="shared" si="115"/>
        <v>8.8520637725751673E-3</v>
      </c>
    </row>
    <row r="113" spans="1:18" x14ac:dyDescent="0.2">
      <c r="A113" s="2">
        <v>43891</v>
      </c>
      <c r="B113">
        <f t="shared" si="77"/>
        <v>2020</v>
      </c>
      <c r="C113">
        <f t="shared" si="78"/>
        <v>3</v>
      </c>
      <c r="D113" s="88">
        <v>7029333.0698795123</v>
      </c>
      <c r="E113" s="88">
        <v>649812.80140259408</v>
      </c>
      <c r="F113" s="88">
        <v>7679145.8712821063</v>
      </c>
      <c r="G113" s="78">
        <v>334.7</v>
      </c>
      <c r="H113" s="78">
        <v>0</v>
      </c>
      <c r="I113" s="78">
        <f t="shared" ref="I113:J113" si="129">I125</f>
        <v>409.90999999999997</v>
      </c>
      <c r="J113" s="78">
        <f t="shared" si="129"/>
        <v>1.1599999999999999</v>
      </c>
      <c r="K113" s="30">
        <v>0</v>
      </c>
      <c r="L113" s="30">
        <v>2707</v>
      </c>
      <c r="M113" s="30">
        <v>111</v>
      </c>
      <c r="N113" s="81">
        <v>0.5</v>
      </c>
      <c r="O113" s="30">
        <f t="shared" si="80"/>
        <v>7943626.1937399628</v>
      </c>
      <c r="P113" s="30">
        <f t="shared" si="113"/>
        <v>7293813.3923373688</v>
      </c>
      <c r="Q113" s="30">
        <f t="shared" si="114"/>
        <v>264480.3224578565</v>
      </c>
      <c r="R113" s="48">
        <f t="shared" si="115"/>
        <v>3.4441372372797367E-2</v>
      </c>
    </row>
    <row r="114" spans="1:18" x14ac:dyDescent="0.2">
      <c r="A114" s="2">
        <v>43922</v>
      </c>
      <c r="B114">
        <f t="shared" si="77"/>
        <v>2020</v>
      </c>
      <c r="C114">
        <f t="shared" si="78"/>
        <v>4</v>
      </c>
      <c r="D114" s="88">
        <v>6060516.9927710835</v>
      </c>
      <c r="E114" s="88">
        <v>649812.80140259408</v>
      </c>
      <c r="F114" s="88">
        <v>6710329.7941736775</v>
      </c>
      <c r="G114" s="78">
        <v>242.3</v>
      </c>
      <c r="H114" s="78">
        <v>0</v>
      </c>
      <c r="I114" s="78">
        <f t="shared" ref="I114:J114" si="130">I126</f>
        <v>227.5</v>
      </c>
      <c r="J114" s="78">
        <f t="shared" si="130"/>
        <v>2.3099999999999996</v>
      </c>
      <c r="K114" s="30">
        <v>0</v>
      </c>
      <c r="L114" s="30">
        <v>2708</v>
      </c>
      <c r="M114" s="30">
        <v>112</v>
      </c>
      <c r="N114" s="81">
        <v>1</v>
      </c>
      <c r="O114" s="30">
        <f t="shared" si="80"/>
        <v>6670886.3959076228</v>
      </c>
      <c r="P114" s="30">
        <f t="shared" si="113"/>
        <v>6021073.5945050288</v>
      </c>
      <c r="Q114" s="30">
        <f t="shared" si="114"/>
        <v>-39443.39826605469</v>
      </c>
      <c r="R114" s="48">
        <f t="shared" si="115"/>
        <v>5.8780118825608072E-3</v>
      </c>
    </row>
    <row r="115" spans="1:18" x14ac:dyDescent="0.2">
      <c r="A115" s="2">
        <v>43952</v>
      </c>
      <c r="B115">
        <f t="shared" si="77"/>
        <v>2020</v>
      </c>
      <c r="C115">
        <f t="shared" si="78"/>
        <v>5</v>
      </c>
      <c r="D115" s="88">
        <v>5500006.03373494</v>
      </c>
      <c r="E115" s="88">
        <v>649812.80140259408</v>
      </c>
      <c r="F115" s="88">
        <v>6149818.835137534</v>
      </c>
      <c r="G115" s="78">
        <v>116.19999999999999</v>
      </c>
      <c r="H115" s="78">
        <v>56.300000000000004</v>
      </c>
      <c r="I115" s="78">
        <f t="shared" ref="I115:J115" si="131">I127</f>
        <v>59.269999999999982</v>
      </c>
      <c r="J115" s="78">
        <f t="shared" si="131"/>
        <v>70.86</v>
      </c>
      <c r="K115" s="30">
        <v>0</v>
      </c>
      <c r="L115" s="30">
        <v>2709</v>
      </c>
      <c r="M115" s="30">
        <v>113</v>
      </c>
      <c r="N115" s="81">
        <v>1</v>
      </c>
      <c r="O115" s="30">
        <f t="shared" si="80"/>
        <v>6026266.0505333673</v>
      </c>
      <c r="P115" s="30">
        <f t="shared" si="113"/>
        <v>5376453.2491307734</v>
      </c>
      <c r="Q115" s="30">
        <f t="shared" si="114"/>
        <v>-123552.78460416663</v>
      </c>
      <c r="R115" s="48">
        <f t="shared" si="115"/>
        <v>2.0090475494698619E-2</v>
      </c>
    </row>
    <row r="116" spans="1:18" x14ac:dyDescent="0.2">
      <c r="A116" s="2">
        <v>43983</v>
      </c>
      <c r="B116">
        <f t="shared" si="77"/>
        <v>2020</v>
      </c>
      <c r="C116">
        <f t="shared" si="78"/>
        <v>6</v>
      </c>
      <c r="D116" s="88">
        <v>6178943.248192776</v>
      </c>
      <c r="E116" s="88">
        <v>649812.80140259408</v>
      </c>
      <c r="F116" s="88">
        <v>6828756.04959537</v>
      </c>
      <c r="G116" s="78">
        <v>2.0999999999999996</v>
      </c>
      <c r="H116" s="78">
        <v>196.00000000000003</v>
      </c>
      <c r="I116" s="78">
        <f t="shared" ref="I116:J116" si="132">I128</f>
        <v>1.85</v>
      </c>
      <c r="J116" s="78">
        <f t="shared" si="132"/>
        <v>171.74</v>
      </c>
      <c r="K116" s="30">
        <v>0</v>
      </c>
      <c r="L116" s="30">
        <v>2721</v>
      </c>
      <c r="M116" s="30">
        <v>114</v>
      </c>
      <c r="N116" s="81">
        <v>0.5</v>
      </c>
      <c r="O116" s="30">
        <f t="shared" si="80"/>
        <v>6707453.1723363157</v>
      </c>
      <c r="P116" s="30">
        <f t="shared" si="113"/>
        <v>6057640.3709337218</v>
      </c>
      <c r="Q116" s="30">
        <f t="shared" si="114"/>
        <v>-121302.87725905422</v>
      </c>
      <c r="R116" s="48">
        <f t="shared" si="115"/>
        <v>1.7763539417437805E-2</v>
      </c>
    </row>
    <row r="117" spans="1:18" x14ac:dyDescent="0.2">
      <c r="A117" s="2">
        <v>44013</v>
      </c>
      <c r="B117">
        <f t="shared" si="77"/>
        <v>2020</v>
      </c>
      <c r="C117">
        <f t="shared" si="78"/>
        <v>7</v>
      </c>
      <c r="D117" s="88">
        <v>7125657.9277108368</v>
      </c>
      <c r="E117" s="88">
        <v>649812.80140259408</v>
      </c>
      <c r="F117" s="88">
        <v>7775470.7291134307</v>
      </c>
      <c r="G117" s="78">
        <v>0</v>
      </c>
      <c r="H117" s="78">
        <v>339.70000000000005</v>
      </c>
      <c r="I117" s="78">
        <f t="shared" ref="I117:J117" si="133">I129</f>
        <v>0</v>
      </c>
      <c r="J117" s="78">
        <f t="shared" si="133"/>
        <v>269.41000000000003</v>
      </c>
      <c r="K117" s="30">
        <v>0</v>
      </c>
      <c r="L117" s="30">
        <v>2724</v>
      </c>
      <c r="M117" s="30">
        <v>115</v>
      </c>
      <c r="N117" s="81">
        <v>0.5</v>
      </c>
      <c r="O117" s="30">
        <f t="shared" si="80"/>
        <v>7426504.1133602476</v>
      </c>
      <c r="P117" s="30">
        <f t="shared" si="113"/>
        <v>6776691.3119576536</v>
      </c>
      <c r="Q117" s="30">
        <f t="shared" si="114"/>
        <v>-348966.61575318314</v>
      </c>
      <c r="R117" s="48">
        <f t="shared" si="115"/>
        <v>4.4880448774189237E-2</v>
      </c>
    </row>
    <row r="118" spans="1:18" x14ac:dyDescent="0.2">
      <c r="A118" s="2">
        <v>44044</v>
      </c>
      <c r="B118">
        <f t="shared" si="77"/>
        <v>2020</v>
      </c>
      <c r="C118">
        <f t="shared" si="78"/>
        <v>8</v>
      </c>
      <c r="D118" s="88">
        <v>6952279.6530120457</v>
      </c>
      <c r="E118" s="88">
        <v>649812.80140259408</v>
      </c>
      <c r="F118" s="88">
        <v>7602092.4544146396</v>
      </c>
      <c r="G118" s="78">
        <v>0</v>
      </c>
      <c r="H118" s="78">
        <v>249.89999999999998</v>
      </c>
      <c r="I118" s="78">
        <f t="shared" ref="I118:J118" si="134">I130</f>
        <v>0</v>
      </c>
      <c r="J118" s="78">
        <f t="shared" si="134"/>
        <v>242.46000000000004</v>
      </c>
      <c r="K118" s="30">
        <v>0</v>
      </c>
      <c r="L118" s="30">
        <v>2731</v>
      </c>
      <c r="M118" s="30">
        <v>116</v>
      </c>
      <c r="N118" s="81">
        <v>0.5</v>
      </c>
      <c r="O118" s="30">
        <f t="shared" si="80"/>
        <v>7565155.3136947127</v>
      </c>
      <c r="P118" s="30">
        <f t="shared" si="113"/>
        <v>6915342.5122921187</v>
      </c>
      <c r="Q118" s="30">
        <f t="shared" si="114"/>
        <v>-36937.140719926916</v>
      </c>
      <c r="R118" s="48">
        <f t="shared" si="115"/>
        <v>4.858812352180354E-3</v>
      </c>
    </row>
    <row r="119" spans="1:18" x14ac:dyDescent="0.2">
      <c r="A119" s="2">
        <v>44075</v>
      </c>
      <c r="B119">
        <f t="shared" si="77"/>
        <v>2020</v>
      </c>
      <c r="C119">
        <f t="shared" si="78"/>
        <v>9</v>
      </c>
      <c r="D119" s="88">
        <v>6152713.3975903597</v>
      </c>
      <c r="E119" s="88">
        <v>649812.80140259408</v>
      </c>
      <c r="F119" s="88">
        <v>6802526.1989929536</v>
      </c>
      <c r="G119" s="78">
        <v>15.899999999999999</v>
      </c>
      <c r="H119" s="78">
        <v>100.10000000000001</v>
      </c>
      <c r="I119" s="78">
        <f t="shared" ref="I119:J119" si="135">I131</f>
        <v>10.66</v>
      </c>
      <c r="J119" s="78">
        <f t="shared" si="135"/>
        <v>124.26999999999998</v>
      </c>
      <c r="K119" s="30">
        <v>1</v>
      </c>
      <c r="L119" s="30">
        <v>2734</v>
      </c>
      <c r="M119" s="30">
        <v>117</v>
      </c>
      <c r="N119" s="81">
        <v>0.5</v>
      </c>
      <c r="O119" s="30">
        <f t="shared" si="80"/>
        <v>6904496.7358663017</v>
      </c>
      <c r="P119" s="30">
        <f t="shared" si="113"/>
        <v>6254683.9344637077</v>
      </c>
      <c r="Q119" s="30">
        <f t="shared" si="114"/>
        <v>101970.53687334806</v>
      </c>
      <c r="R119" s="48">
        <f t="shared" si="115"/>
        <v>1.4990098367933339E-2</v>
      </c>
    </row>
    <row r="120" spans="1:18" x14ac:dyDescent="0.2">
      <c r="A120" s="2">
        <v>44105</v>
      </c>
      <c r="B120">
        <f t="shared" si="77"/>
        <v>2020</v>
      </c>
      <c r="C120">
        <f t="shared" si="78"/>
        <v>10</v>
      </c>
      <c r="D120" s="88">
        <v>6063787.8939759014</v>
      </c>
      <c r="E120" s="88">
        <v>649812.80140259408</v>
      </c>
      <c r="F120" s="88">
        <v>6713600.6953784954</v>
      </c>
      <c r="G120" s="78">
        <v>149.90000000000003</v>
      </c>
      <c r="H120" s="78">
        <v>3.5999999999999996</v>
      </c>
      <c r="I120" s="78">
        <f t="shared" ref="I120:J120" si="136">I132</f>
        <v>118.80999999999999</v>
      </c>
      <c r="J120" s="78">
        <f t="shared" si="136"/>
        <v>23.209999999999997</v>
      </c>
      <c r="K120" s="30">
        <v>1</v>
      </c>
      <c r="L120" s="30">
        <v>2744</v>
      </c>
      <c r="M120" s="30">
        <v>118</v>
      </c>
      <c r="N120" s="81">
        <v>0.5</v>
      </c>
      <c r="O120" s="30">
        <f t="shared" si="80"/>
        <v>6704008.7156014657</v>
      </c>
      <c r="P120" s="30">
        <f t="shared" si="113"/>
        <v>6054195.9141988717</v>
      </c>
      <c r="Q120" s="30">
        <f t="shared" si="114"/>
        <v>-9591.9797770297155</v>
      </c>
      <c r="R120" s="48">
        <f t="shared" si="115"/>
        <v>1.4287384984979278E-3</v>
      </c>
    </row>
    <row r="121" spans="1:18" x14ac:dyDescent="0.2">
      <c r="A121" s="2">
        <v>44136</v>
      </c>
      <c r="B121">
        <f t="shared" si="77"/>
        <v>2020</v>
      </c>
      <c r="C121">
        <f t="shared" si="78"/>
        <v>11</v>
      </c>
      <c r="D121" s="88">
        <v>5989978.6987951752</v>
      </c>
      <c r="E121" s="88">
        <v>649812.80140259408</v>
      </c>
      <c r="F121" s="88">
        <v>6639791.5001977691</v>
      </c>
      <c r="G121" s="78">
        <v>220.39999999999998</v>
      </c>
      <c r="H121" s="78">
        <v>5.6000000000000014</v>
      </c>
      <c r="I121" s="78">
        <f t="shared" ref="I121:J121" si="137">I133</f>
        <v>307.13</v>
      </c>
      <c r="J121" s="78">
        <f t="shared" si="137"/>
        <v>0.89</v>
      </c>
      <c r="K121" s="30">
        <v>1</v>
      </c>
      <c r="L121" s="30">
        <v>2753</v>
      </c>
      <c r="M121" s="30">
        <v>119</v>
      </c>
      <c r="N121" s="81">
        <v>0.5</v>
      </c>
      <c r="O121" s="30">
        <f t="shared" si="80"/>
        <v>6914757.8453892721</v>
      </c>
      <c r="P121" s="30">
        <f t="shared" si="113"/>
        <v>6264945.0439866781</v>
      </c>
      <c r="Q121" s="30">
        <f t="shared" si="114"/>
        <v>274966.34519150294</v>
      </c>
      <c r="R121" s="48">
        <f t="shared" si="115"/>
        <v>4.1411894512548016E-2</v>
      </c>
    </row>
    <row r="122" spans="1:18" x14ac:dyDescent="0.2">
      <c r="A122" s="2">
        <v>44166</v>
      </c>
      <c r="B122">
        <f t="shared" si="77"/>
        <v>2020</v>
      </c>
      <c r="C122">
        <f t="shared" si="78"/>
        <v>12</v>
      </c>
      <c r="D122" s="88">
        <v>6720380.9831325309</v>
      </c>
      <c r="E122" s="88">
        <v>649812.80140259408</v>
      </c>
      <c r="F122" s="88">
        <v>7370193.7845351249</v>
      </c>
      <c r="G122" s="78">
        <v>443.3</v>
      </c>
      <c r="H122" s="78">
        <v>0</v>
      </c>
      <c r="I122" s="78">
        <f t="shared" ref="I122:J122" si="138">I134</f>
        <v>451.35999999999996</v>
      </c>
      <c r="J122" s="78">
        <f t="shared" si="138"/>
        <v>0</v>
      </c>
      <c r="K122" s="30">
        <v>0</v>
      </c>
      <c r="L122" s="30">
        <v>2781</v>
      </c>
      <c r="M122" s="30">
        <v>120</v>
      </c>
      <c r="N122" s="81">
        <v>0.5</v>
      </c>
      <c r="O122" s="30">
        <f t="shared" si="80"/>
        <v>7397920.0672835037</v>
      </c>
      <c r="P122" s="30">
        <f t="shared" si="113"/>
        <v>6748107.2658809097</v>
      </c>
      <c r="Q122" s="30">
        <f t="shared" si="114"/>
        <v>27726.282748378813</v>
      </c>
      <c r="R122" s="48">
        <f t="shared" si="115"/>
        <v>3.7619475903817976E-3</v>
      </c>
    </row>
    <row r="123" spans="1:18" x14ac:dyDescent="0.2">
      <c r="A123" s="2">
        <v>44197</v>
      </c>
      <c r="B123">
        <f t="shared" si="77"/>
        <v>2021</v>
      </c>
      <c r="C123">
        <f t="shared" si="78"/>
        <v>1</v>
      </c>
      <c r="D123" s="88">
        <v>8317144.8867469896</v>
      </c>
      <c r="E123" s="88">
        <v>735626.19902410684</v>
      </c>
      <c r="F123" s="88">
        <v>9052771.0857710969</v>
      </c>
      <c r="G123" s="78">
        <v>516</v>
      </c>
      <c r="H123" s="78">
        <v>0</v>
      </c>
      <c r="I123" s="78">
        <f t="shared" ref="I123:J123" si="139">I135</f>
        <v>563.5</v>
      </c>
      <c r="J123" s="78">
        <f t="shared" si="139"/>
        <v>0</v>
      </c>
      <c r="K123" s="30">
        <v>0</v>
      </c>
      <c r="L123" s="30">
        <v>2807</v>
      </c>
      <c r="M123" s="30">
        <v>121</v>
      </c>
      <c r="N123" s="81">
        <v>0.5</v>
      </c>
      <c r="O123" s="30">
        <f t="shared" si="80"/>
        <v>9216170.3947720919</v>
      </c>
      <c r="P123" s="30">
        <f t="shared" si="113"/>
        <v>8480544.1957479846</v>
      </c>
      <c r="Q123" s="30">
        <f t="shared" si="114"/>
        <v>163399.30900099501</v>
      </c>
      <c r="R123" s="48">
        <f t="shared" si="115"/>
        <v>1.8049645512170486E-2</v>
      </c>
    </row>
    <row r="124" spans="1:18" x14ac:dyDescent="0.2">
      <c r="A124" s="2">
        <v>44228</v>
      </c>
      <c r="B124">
        <f t="shared" si="77"/>
        <v>2021</v>
      </c>
      <c r="C124">
        <f t="shared" si="78"/>
        <v>2</v>
      </c>
      <c r="D124" s="88">
        <v>7899265.667469875</v>
      </c>
      <c r="E124" s="88">
        <v>735626.19902410684</v>
      </c>
      <c r="F124" s="88">
        <v>8634891.8664939813</v>
      </c>
      <c r="G124" s="78">
        <v>541.69999999999993</v>
      </c>
      <c r="H124" s="78">
        <v>0</v>
      </c>
      <c r="I124" s="78">
        <f t="shared" ref="I124:J124" si="140">I136</f>
        <v>516.6099999999999</v>
      </c>
      <c r="J124" s="78">
        <f t="shared" si="140"/>
        <v>0</v>
      </c>
      <c r="K124" s="30">
        <v>0</v>
      </c>
      <c r="L124" s="30">
        <v>2848</v>
      </c>
      <c r="M124" s="30">
        <v>122</v>
      </c>
      <c r="N124" s="81">
        <v>0.5</v>
      </c>
      <c r="O124" s="30">
        <f t="shared" si="80"/>
        <v>8548582.63148693</v>
      </c>
      <c r="P124" s="30">
        <f t="shared" si="113"/>
        <v>7812956.4324628226</v>
      </c>
      <c r="Q124" s="30">
        <f t="shared" si="114"/>
        <v>-86309.235007051378</v>
      </c>
      <c r="R124" s="48">
        <f t="shared" si="115"/>
        <v>9.9954042669552802E-3</v>
      </c>
    </row>
    <row r="125" spans="1:18" x14ac:dyDescent="0.2">
      <c r="A125" s="2">
        <v>44256</v>
      </c>
      <c r="B125">
        <f t="shared" si="77"/>
        <v>2021</v>
      </c>
      <c r="C125">
        <f t="shared" si="78"/>
        <v>3</v>
      </c>
      <c r="D125" s="88">
        <v>7196997.5518072229</v>
      </c>
      <c r="E125" s="88">
        <v>735626.19902410684</v>
      </c>
      <c r="F125" s="88">
        <v>7932623.7508313302</v>
      </c>
      <c r="G125" s="78">
        <v>337.20000000000005</v>
      </c>
      <c r="H125" s="78">
        <v>0.5</v>
      </c>
      <c r="I125" s="78">
        <f t="shared" ref="I125:J125" si="141">I137</f>
        <v>409.90999999999997</v>
      </c>
      <c r="J125" s="78">
        <f t="shared" si="141"/>
        <v>1.1599999999999999</v>
      </c>
      <c r="K125" s="30">
        <v>0</v>
      </c>
      <c r="L125" s="30">
        <v>2849</v>
      </c>
      <c r="M125" s="30">
        <v>123</v>
      </c>
      <c r="N125" s="81">
        <v>0.5</v>
      </c>
      <c r="O125" s="30">
        <f t="shared" si="80"/>
        <v>8186021.7749317531</v>
      </c>
      <c r="P125" s="30">
        <f t="shared" si="113"/>
        <v>7450395.5759076457</v>
      </c>
      <c r="Q125" s="30">
        <f t="shared" si="114"/>
        <v>253398.02410042286</v>
      </c>
      <c r="R125" s="48">
        <f t="shared" si="115"/>
        <v>3.1943784561049807E-2</v>
      </c>
    </row>
    <row r="126" spans="1:18" x14ac:dyDescent="0.2">
      <c r="A126" s="2">
        <v>44287</v>
      </c>
      <c r="B126">
        <f t="shared" si="77"/>
        <v>2021</v>
      </c>
      <c r="C126">
        <f t="shared" si="78"/>
        <v>4</v>
      </c>
      <c r="D126" s="88">
        <v>6547512.9831325319</v>
      </c>
      <c r="E126" s="88">
        <v>735626.19902410684</v>
      </c>
      <c r="F126" s="88">
        <v>7283139.1821566392</v>
      </c>
      <c r="G126" s="78">
        <v>185.99999999999997</v>
      </c>
      <c r="H126" s="78">
        <v>3.5999999999999996</v>
      </c>
      <c r="I126" s="78">
        <f t="shared" ref="I126:J126" si="142">I138</f>
        <v>227.5</v>
      </c>
      <c r="J126" s="78">
        <f t="shared" si="142"/>
        <v>2.3099999999999996</v>
      </c>
      <c r="K126" s="30">
        <v>0</v>
      </c>
      <c r="L126" s="30">
        <v>2861</v>
      </c>
      <c r="M126" s="30">
        <v>124</v>
      </c>
      <c r="N126" s="81">
        <v>0.5</v>
      </c>
      <c r="O126" s="30">
        <f t="shared" si="80"/>
        <v>7419494.1548491511</v>
      </c>
      <c r="P126" s="30">
        <f t="shared" si="113"/>
        <v>6683867.9558250438</v>
      </c>
      <c r="Q126" s="30">
        <f t="shared" si="114"/>
        <v>136354.97269251198</v>
      </c>
      <c r="R126" s="48">
        <f t="shared" si="115"/>
        <v>1.8722005619029699E-2</v>
      </c>
    </row>
    <row r="127" spans="1:18" x14ac:dyDescent="0.2">
      <c r="A127" s="2">
        <v>44317</v>
      </c>
      <c r="B127">
        <f t="shared" si="77"/>
        <v>2021</v>
      </c>
      <c r="C127">
        <f t="shared" si="78"/>
        <v>5</v>
      </c>
      <c r="D127" s="88">
        <v>5916481.4457831262</v>
      </c>
      <c r="E127" s="88">
        <v>735626.19902410684</v>
      </c>
      <c r="F127" s="88">
        <v>6652107.6448072325</v>
      </c>
      <c r="G127" s="78">
        <v>80.299999999999983</v>
      </c>
      <c r="H127" s="78">
        <v>67.999999999999986</v>
      </c>
      <c r="I127" s="78">
        <f t="shared" ref="I127:J127" si="143">I139</f>
        <v>59.269999999999982</v>
      </c>
      <c r="J127" s="78">
        <f t="shared" si="143"/>
        <v>70.86</v>
      </c>
      <c r="K127" s="30">
        <v>0</v>
      </c>
      <c r="L127" s="30">
        <v>2864</v>
      </c>
      <c r="M127" s="30">
        <v>125</v>
      </c>
      <c r="N127" s="81">
        <v>0.5</v>
      </c>
      <c r="O127" s="30">
        <f t="shared" si="80"/>
        <v>6593963.7053695349</v>
      </c>
      <c r="P127" s="30">
        <f t="shared" si="113"/>
        <v>5858337.5063454285</v>
      </c>
      <c r="Q127" s="30">
        <f t="shared" si="114"/>
        <v>-58143.939437697642</v>
      </c>
      <c r="R127" s="48">
        <f t="shared" si="115"/>
        <v>8.7406792767531286E-3</v>
      </c>
    </row>
    <row r="128" spans="1:18" x14ac:dyDescent="0.2">
      <c r="A128" s="2">
        <v>44348</v>
      </c>
      <c r="B128">
        <f t="shared" ref="B128:B134" si="144">YEAR(A128)</f>
        <v>2021</v>
      </c>
      <c r="C128">
        <f t="shared" ref="C128:C134" si="145">MONTH(A128)</f>
        <v>6</v>
      </c>
      <c r="D128" s="88">
        <v>6502732.9156626537</v>
      </c>
      <c r="E128" s="88">
        <v>735626.19902410684</v>
      </c>
      <c r="F128" s="88">
        <v>7238359.1146867611</v>
      </c>
      <c r="G128" s="78">
        <v>0</v>
      </c>
      <c r="H128" s="78">
        <v>235.00000000000006</v>
      </c>
      <c r="I128" s="78">
        <f t="shared" ref="I128:J128" si="146">I140</f>
        <v>1.85</v>
      </c>
      <c r="J128" s="78">
        <f t="shared" si="146"/>
        <v>171.74</v>
      </c>
      <c r="K128" s="30">
        <v>0</v>
      </c>
      <c r="L128" s="30">
        <v>2867</v>
      </c>
      <c r="M128" s="30">
        <v>126</v>
      </c>
      <c r="N128" s="81">
        <v>0.5</v>
      </c>
      <c r="O128" s="30">
        <f t="shared" si="80"/>
        <v>6930658.098265755</v>
      </c>
      <c r="P128" s="30">
        <f t="shared" ref="P128:P134" si="147">O128-E128</f>
        <v>6195031.8992416486</v>
      </c>
      <c r="Q128" s="30">
        <f t="shared" ref="Q128:Q134" si="148">+O128-F128</f>
        <v>-307701.01642100606</v>
      </c>
      <c r="R128" s="48">
        <f t="shared" ref="R128:R134" si="149">ABS(Q128/F128)</f>
        <v>4.2509774873793586E-2</v>
      </c>
    </row>
    <row r="129" spans="1:21" x14ac:dyDescent="0.2">
      <c r="A129" s="2">
        <v>44378</v>
      </c>
      <c r="B129">
        <f t="shared" si="144"/>
        <v>2021</v>
      </c>
      <c r="C129">
        <f t="shared" si="145"/>
        <v>7</v>
      </c>
      <c r="D129" s="88">
        <v>7081289.7349397596</v>
      </c>
      <c r="E129" s="88">
        <v>735626.19902410684</v>
      </c>
      <c r="F129" s="88">
        <v>7816915.9339638669</v>
      </c>
      <c r="G129" s="78">
        <v>0</v>
      </c>
      <c r="H129" s="78">
        <v>228.30000000000004</v>
      </c>
      <c r="I129" s="78">
        <f t="shared" ref="I129:J129" si="150">I141</f>
        <v>0</v>
      </c>
      <c r="J129" s="78">
        <f t="shared" si="150"/>
        <v>269.41000000000003</v>
      </c>
      <c r="K129" s="30">
        <v>0</v>
      </c>
      <c r="L129" s="30">
        <v>2870</v>
      </c>
      <c r="M129" s="30">
        <v>127</v>
      </c>
      <c r="N129" s="81">
        <v>0.5</v>
      </c>
      <c r="O129" s="30">
        <f t="shared" si="80"/>
        <v>8021013.4951192709</v>
      </c>
      <c r="P129" s="30">
        <f t="shared" si="147"/>
        <v>7285387.2960951645</v>
      </c>
      <c r="Q129" s="30">
        <f t="shared" si="148"/>
        <v>204097.56115540396</v>
      </c>
      <c r="R129" s="48">
        <f t="shared" si="149"/>
        <v>2.6109729576163993E-2</v>
      </c>
    </row>
    <row r="130" spans="1:21" x14ac:dyDescent="0.2">
      <c r="A130" s="2">
        <v>44409</v>
      </c>
      <c r="B130">
        <f t="shared" si="144"/>
        <v>2021</v>
      </c>
      <c r="C130">
        <f t="shared" si="145"/>
        <v>8</v>
      </c>
      <c r="D130" s="88">
        <v>7851599.4891566234</v>
      </c>
      <c r="E130" s="88">
        <v>735626.19902410684</v>
      </c>
      <c r="F130" s="88">
        <v>8587225.6881807297</v>
      </c>
      <c r="G130" s="78">
        <v>0</v>
      </c>
      <c r="H130" s="78">
        <v>303.39999999999998</v>
      </c>
      <c r="I130" s="78">
        <f t="shared" ref="I130:J130" si="151">I142</f>
        <v>0</v>
      </c>
      <c r="J130" s="78">
        <f t="shared" si="151"/>
        <v>242.46000000000004</v>
      </c>
      <c r="K130" s="30">
        <v>0</v>
      </c>
      <c r="L130" s="30">
        <v>2898</v>
      </c>
      <c r="M130" s="30">
        <v>128</v>
      </c>
      <c r="N130" s="81">
        <v>0.5</v>
      </c>
      <c r="O130" s="30">
        <f t="shared" si="80"/>
        <v>8284678.7318000365</v>
      </c>
      <c r="P130" s="30">
        <f t="shared" si="147"/>
        <v>7549052.5327759292</v>
      </c>
      <c r="Q130" s="30">
        <f t="shared" si="148"/>
        <v>-302546.95638069324</v>
      </c>
      <c r="R130" s="48">
        <f t="shared" si="149"/>
        <v>3.5232212051572405E-2</v>
      </c>
    </row>
    <row r="131" spans="1:21" x14ac:dyDescent="0.2">
      <c r="A131" s="2">
        <v>44440</v>
      </c>
      <c r="B131">
        <f t="shared" si="144"/>
        <v>2021</v>
      </c>
      <c r="C131">
        <f t="shared" si="145"/>
        <v>9</v>
      </c>
      <c r="D131" s="88">
        <v>7157403.4891566234</v>
      </c>
      <c r="E131" s="88">
        <v>735626.19902410684</v>
      </c>
      <c r="F131" s="88">
        <v>7893029.6881807297</v>
      </c>
      <c r="G131" s="78">
        <v>3</v>
      </c>
      <c r="H131" s="78">
        <v>112.3</v>
      </c>
      <c r="I131" s="78">
        <f t="shared" ref="I131:J131" si="152">I143</f>
        <v>10.66</v>
      </c>
      <c r="J131" s="78">
        <f t="shared" si="152"/>
        <v>124.26999999999998</v>
      </c>
      <c r="K131" s="30">
        <v>1</v>
      </c>
      <c r="L131" s="30">
        <v>2914</v>
      </c>
      <c r="M131" s="30">
        <v>129</v>
      </c>
      <c r="N131" s="81">
        <v>0.5</v>
      </c>
      <c r="O131" s="30">
        <f t="shared" si="80"/>
        <v>7978807.0700837374</v>
      </c>
      <c r="P131" s="30">
        <f t="shared" si="147"/>
        <v>7243180.8710596301</v>
      </c>
      <c r="Q131" s="30">
        <f t="shared" si="148"/>
        <v>85777.381903007627</v>
      </c>
      <c r="R131" s="48">
        <f t="shared" si="149"/>
        <v>1.0867485020543299E-2</v>
      </c>
    </row>
    <row r="132" spans="1:21" x14ac:dyDescent="0.2">
      <c r="A132" s="2">
        <v>44470</v>
      </c>
      <c r="B132">
        <f t="shared" si="144"/>
        <v>2021</v>
      </c>
      <c r="C132">
        <f t="shared" si="145"/>
        <v>10</v>
      </c>
      <c r="D132" s="88">
        <v>6765314.053012046</v>
      </c>
      <c r="E132" s="88">
        <v>735626.19902410684</v>
      </c>
      <c r="F132" s="88">
        <v>7500940.2520361524</v>
      </c>
      <c r="G132" s="78">
        <v>68.600000000000009</v>
      </c>
      <c r="H132" s="78">
        <v>52.999999999999986</v>
      </c>
      <c r="I132" s="78">
        <f t="shared" ref="I132:J132" si="153">I144</f>
        <v>118.80999999999999</v>
      </c>
      <c r="J132" s="78">
        <f t="shared" si="153"/>
        <v>23.209999999999997</v>
      </c>
      <c r="K132" s="30">
        <v>1</v>
      </c>
      <c r="L132" s="30">
        <v>2906</v>
      </c>
      <c r="M132" s="30">
        <v>130</v>
      </c>
      <c r="N132" s="81">
        <v>0.5</v>
      </c>
      <c r="O132" s="30">
        <f t="shared" ref="O132:O134" si="154">F132+(I132-G132)*$T$20+(J132-H132)*$T$21</f>
        <v>7525764.4186505787</v>
      </c>
      <c r="P132" s="30">
        <f t="shared" si="147"/>
        <v>6790138.2196264714</v>
      </c>
      <c r="Q132" s="30">
        <f t="shared" si="148"/>
        <v>24824.1666144263</v>
      </c>
      <c r="R132" s="48">
        <f t="shared" si="149"/>
        <v>3.3094739833033206E-3</v>
      </c>
    </row>
    <row r="133" spans="1:21" x14ac:dyDescent="0.2">
      <c r="A133" s="2">
        <v>44501</v>
      </c>
      <c r="B133">
        <f t="shared" si="144"/>
        <v>2021</v>
      </c>
      <c r="C133">
        <f t="shared" si="145"/>
        <v>11</v>
      </c>
      <c r="D133" s="88">
        <v>6721158.9108433723</v>
      </c>
      <c r="E133" s="88">
        <v>735626.19902410684</v>
      </c>
      <c r="F133" s="88">
        <v>7456785.1098674797</v>
      </c>
      <c r="G133" s="78">
        <v>293.70000000000005</v>
      </c>
      <c r="H133" s="78">
        <v>0</v>
      </c>
      <c r="I133" s="78">
        <f t="shared" ref="I133:J133" si="155">I145</f>
        <v>307.13</v>
      </c>
      <c r="J133" s="78">
        <f t="shared" si="155"/>
        <v>0.89</v>
      </c>
      <c r="K133" s="30">
        <v>1</v>
      </c>
      <c r="L133" s="30">
        <v>2907</v>
      </c>
      <c r="M133" s="30">
        <v>131</v>
      </c>
      <c r="N133" s="81">
        <v>0.5</v>
      </c>
      <c r="O133" s="30">
        <f t="shared" si="154"/>
        <v>7507402.6703085294</v>
      </c>
      <c r="P133" s="30">
        <f t="shared" si="147"/>
        <v>6771776.471284423</v>
      </c>
      <c r="Q133" s="30">
        <f t="shared" si="148"/>
        <v>50617.560441049747</v>
      </c>
      <c r="R133" s="48">
        <f t="shared" si="149"/>
        <v>6.7881211132218497E-3</v>
      </c>
    </row>
    <row r="134" spans="1:21" x14ac:dyDescent="0.2">
      <c r="A134" s="2">
        <v>44531</v>
      </c>
      <c r="B134">
        <f t="shared" si="144"/>
        <v>2021</v>
      </c>
      <c r="C134">
        <f t="shared" si="145"/>
        <v>12</v>
      </c>
      <c r="D134" s="88">
        <v>7522268.6361445729</v>
      </c>
      <c r="E134" s="88">
        <v>735626.19902410684</v>
      </c>
      <c r="F134" s="88">
        <v>8257894.8351686802</v>
      </c>
      <c r="G134" s="78">
        <v>381.4</v>
      </c>
      <c r="H134" s="78">
        <v>0</v>
      </c>
      <c r="I134" s="78">
        <f>I146</f>
        <v>451.35999999999996</v>
      </c>
      <c r="J134" s="78">
        <f>J146</f>
        <v>0</v>
      </c>
      <c r="K134" s="30">
        <v>0</v>
      </c>
      <c r="L134" s="30">
        <v>2918</v>
      </c>
      <c r="M134" s="30">
        <v>132</v>
      </c>
      <c r="N134" s="81">
        <v>0.5</v>
      </c>
      <c r="O134" s="30">
        <f t="shared" si="154"/>
        <v>8498556.2174362503</v>
      </c>
      <c r="P134" s="30">
        <f t="shared" si="147"/>
        <v>7762930.018412143</v>
      </c>
      <c r="Q134" s="30">
        <f t="shared" si="148"/>
        <v>240661.38226757012</v>
      </c>
      <c r="R134" s="48">
        <f t="shared" si="149"/>
        <v>2.9143188072902389E-2</v>
      </c>
      <c r="S134" s="76" t="s">
        <v>11</v>
      </c>
    </row>
    <row r="135" spans="1:21" x14ac:dyDescent="0.2">
      <c r="A135" s="2">
        <v>44562</v>
      </c>
      <c r="B135">
        <f t="shared" ref="B135:B158" si="156">YEAR(A135)</f>
        <v>2022</v>
      </c>
      <c r="C135">
        <f t="shared" ref="C135:C158" si="157">MONTH(A135)</f>
        <v>1</v>
      </c>
      <c r="E135" s="88">
        <v>719649.09172747855</v>
      </c>
      <c r="F135" s="88"/>
      <c r="G135" s="78">
        <v>563.5</v>
      </c>
      <c r="H135" s="78">
        <v>0</v>
      </c>
      <c r="I135" s="78">
        <f>G135</f>
        <v>563.5</v>
      </c>
      <c r="J135" s="78">
        <f>H135</f>
        <v>0</v>
      </c>
      <c r="K135" s="30">
        <f t="shared" ref="K135:K146" si="158">K111</f>
        <v>0</v>
      </c>
      <c r="L135" s="93">
        <f>'Rate Class Customer Model'!E60</f>
        <v>2922.3728559552128</v>
      </c>
      <c r="M135" s="30">
        <f t="shared" ref="M135:M158" si="159">M134+1</f>
        <v>133</v>
      </c>
      <c r="N135" s="100">
        <f>S135*0.5</f>
        <v>0.375</v>
      </c>
      <c r="O135" s="30">
        <f t="shared" ref="O135:O158" si="160">$T$19+G135*$T$20+H135*$T$21+K135*$T$22+L135*$T$23+M135*$T$24+N135*$T$25</f>
        <v>8973274.9369249493</v>
      </c>
      <c r="P135" s="30">
        <f t="shared" ref="P135:P158" si="161">O135-E135</f>
        <v>8253625.8451974709</v>
      </c>
      <c r="Q135" s="30">
        <f t="shared" ref="Q135:Q158" si="162">+O135-F135</f>
        <v>8973274.9369249493</v>
      </c>
      <c r="R135" s="48"/>
      <c r="S135">
        <v>0.75</v>
      </c>
    </row>
    <row r="136" spans="1:21" x14ac:dyDescent="0.2">
      <c r="A136" s="2">
        <v>44593</v>
      </c>
      <c r="B136">
        <f t="shared" si="156"/>
        <v>2022</v>
      </c>
      <c r="C136">
        <f t="shared" si="157"/>
        <v>2</v>
      </c>
      <c r="E136" s="88">
        <f>E135</f>
        <v>719649.09172747855</v>
      </c>
      <c r="F136" s="88"/>
      <c r="G136" s="78">
        <v>516.6099999999999</v>
      </c>
      <c r="H136" s="78">
        <v>0</v>
      </c>
      <c r="I136" s="78">
        <f t="shared" ref="I136:I158" si="163">G136</f>
        <v>516.6099999999999</v>
      </c>
      <c r="J136" s="78">
        <f t="shared" ref="J136:J158" si="164">H136</f>
        <v>0</v>
      </c>
      <c r="K136" s="30">
        <f t="shared" si="158"/>
        <v>0</v>
      </c>
      <c r="L136" s="93">
        <f>'Rate Class Customer Model'!E61</f>
        <v>2926.7522649841762</v>
      </c>
      <c r="M136" s="30">
        <f t="shared" si="159"/>
        <v>134</v>
      </c>
      <c r="N136" s="100">
        <f t="shared" ref="N136:N158" si="165">S136*0.5</f>
        <v>0.375</v>
      </c>
      <c r="O136" s="30">
        <f t="shared" si="160"/>
        <v>8821618.4646423087</v>
      </c>
      <c r="P136" s="30">
        <f t="shared" si="161"/>
        <v>8101969.3729148302</v>
      </c>
      <c r="Q136" s="30">
        <f t="shared" si="162"/>
        <v>8821618.4646423087</v>
      </c>
      <c r="R136" s="48"/>
      <c r="S136">
        <f>S135</f>
        <v>0.75</v>
      </c>
    </row>
    <row r="137" spans="1:21" x14ac:dyDescent="0.2">
      <c r="A137" s="2">
        <v>44621</v>
      </c>
      <c r="B137">
        <f t="shared" si="156"/>
        <v>2022</v>
      </c>
      <c r="C137">
        <f t="shared" si="157"/>
        <v>3</v>
      </c>
      <c r="E137" s="88">
        <f>E136</f>
        <v>719649.09172747855</v>
      </c>
      <c r="F137" s="88"/>
      <c r="G137" s="78">
        <v>409.90999999999997</v>
      </c>
      <c r="H137" s="78">
        <v>1.1599999999999999</v>
      </c>
      <c r="I137" s="78">
        <f t="shared" si="163"/>
        <v>409.90999999999997</v>
      </c>
      <c r="J137" s="78">
        <f t="shared" si="164"/>
        <v>1.1599999999999999</v>
      </c>
      <c r="K137" s="30">
        <f t="shared" si="158"/>
        <v>0</v>
      </c>
      <c r="L137" s="93">
        <f>'Rate Class Customer Model'!E62</f>
        <v>2931.1382369071948</v>
      </c>
      <c r="M137" s="30">
        <f t="shared" si="159"/>
        <v>135</v>
      </c>
      <c r="N137" s="100">
        <f t="shared" si="165"/>
        <v>0.375</v>
      </c>
      <c r="O137" s="30">
        <f>$T$19+G137*$T$20+H137*$T$21+K137*$T$22+L137*$T$23+M137*$T$24+N137*$T$25</f>
        <v>8470008.9193696454</v>
      </c>
      <c r="P137" s="30">
        <f t="shared" si="161"/>
        <v>7750359.827642167</v>
      </c>
      <c r="Q137" s="30">
        <f t="shared" si="162"/>
        <v>8470008.9193696454</v>
      </c>
      <c r="R137" s="48"/>
      <c r="S137">
        <f t="shared" ref="S137:S158" si="166">S136</f>
        <v>0.75</v>
      </c>
    </row>
    <row r="138" spans="1:21" x14ac:dyDescent="0.2">
      <c r="A138" s="2">
        <v>44652</v>
      </c>
      <c r="B138">
        <f t="shared" si="156"/>
        <v>2022</v>
      </c>
      <c r="C138">
        <f t="shared" si="157"/>
        <v>4</v>
      </c>
      <c r="E138" s="88">
        <f t="shared" ref="E138:E146" si="167">E137</f>
        <v>719649.09172747855</v>
      </c>
      <c r="F138" s="88"/>
      <c r="G138" s="78">
        <v>227.5</v>
      </c>
      <c r="H138" s="78">
        <v>2.3099999999999996</v>
      </c>
      <c r="I138" s="78">
        <f t="shared" si="163"/>
        <v>227.5</v>
      </c>
      <c r="J138" s="78">
        <f t="shared" si="164"/>
        <v>2.3099999999999996</v>
      </c>
      <c r="K138" s="30">
        <f t="shared" si="158"/>
        <v>0</v>
      </c>
      <c r="L138" s="93">
        <f>'Rate Class Customer Model'!E63</f>
        <v>2935.5307815592892</v>
      </c>
      <c r="M138" s="30">
        <f t="shared" si="159"/>
        <v>136</v>
      </c>
      <c r="N138" s="100">
        <f t="shared" si="165"/>
        <v>0.375</v>
      </c>
      <c r="O138" s="30">
        <f t="shared" si="160"/>
        <v>7857941.9192644758</v>
      </c>
      <c r="P138" s="30">
        <f t="shared" si="161"/>
        <v>7138292.8275369974</v>
      </c>
      <c r="Q138" s="30">
        <f t="shared" si="162"/>
        <v>7857941.9192644758</v>
      </c>
      <c r="R138" s="48"/>
      <c r="S138">
        <f t="shared" si="166"/>
        <v>0.75</v>
      </c>
    </row>
    <row r="139" spans="1:21" x14ac:dyDescent="0.2">
      <c r="A139" s="2">
        <v>44682</v>
      </c>
      <c r="B139">
        <f t="shared" si="156"/>
        <v>2022</v>
      </c>
      <c r="C139">
        <f t="shared" si="157"/>
        <v>5</v>
      </c>
      <c r="E139" s="88">
        <f t="shared" si="167"/>
        <v>719649.09172747855</v>
      </c>
      <c r="F139" s="88"/>
      <c r="G139" s="78">
        <v>59.269999999999982</v>
      </c>
      <c r="H139" s="78">
        <v>70.86</v>
      </c>
      <c r="I139" s="78">
        <f t="shared" si="163"/>
        <v>59.269999999999982</v>
      </c>
      <c r="J139" s="78">
        <f t="shared" si="164"/>
        <v>70.86</v>
      </c>
      <c r="K139" s="30">
        <f t="shared" si="158"/>
        <v>0</v>
      </c>
      <c r="L139" s="93">
        <f>'Rate Class Customer Model'!E64</f>
        <v>2939.9299087902186</v>
      </c>
      <c r="M139" s="30">
        <f t="shared" si="159"/>
        <v>137</v>
      </c>
      <c r="N139" s="100">
        <f t="shared" si="165"/>
        <v>0.375</v>
      </c>
      <c r="O139" s="30">
        <f t="shared" si="160"/>
        <v>7629306.1745864637</v>
      </c>
      <c r="P139" s="30">
        <f t="shared" si="161"/>
        <v>6909657.0828589853</v>
      </c>
      <c r="Q139" s="30">
        <f t="shared" si="162"/>
        <v>7629306.1745864637</v>
      </c>
      <c r="R139" s="48"/>
      <c r="S139">
        <f t="shared" si="166"/>
        <v>0.75</v>
      </c>
    </row>
    <row r="140" spans="1:21" x14ac:dyDescent="0.2">
      <c r="A140" s="2">
        <v>44713</v>
      </c>
      <c r="B140">
        <f t="shared" si="156"/>
        <v>2022</v>
      </c>
      <c r="C140">
        <f t="shared" si="157"/>
        <v>6</v>
      </c>
      <c r="E140" s="88">
        <f t="shared" si="167"/>
        <v>719649.09172747855</v>
      </c>
      <c r="F140" s="88"/>
      <c r="G140" s="78">
        <v>1.85</v>
      </c>
      <c r="H140" s="78">
        <v>171.74</v>
      </c>
      <c r="I140" s="78">
        <f t="shared" si="163"/>
        <v>1.85</v>
      </c>
      <c r="J140" s="78">
        <f t="shared" si="164"/>
        <v>171.74</v>
      </c>
      <c r="K140" s="30">
        <f t="shared" si="158"/>
        <v>0</v>
      </c>
      <c r="L140" s="93">
        <f>'Rate Class Customer Model'!E65</f>
        <v>2944.3356284645029</v>
      </c>
      <c r="M140" s="30">
        <f t="shared" si="159"/>
        <v>138</v>
      </c>
      <c r="N140" s="100">
        <f t="shared" si="165"/>
        <v>0.375</v>
      </c>
      <c r="O140" s="30">
        <f t="shared" si="160"/>
        <v>7942396.5722210687</v>
      </c>
      <c r="P140" s="30">
        <f t="shared" si="161"/>
        <v>7222747.4804935902</v>
      </c>
      <c r="Q140" s="30">
        <f t="shared" si="162"/>
        <v>7942396.5722210687</v>
      </c>
      <c r="R140" s="48"/>
      <c r="S140">
        <f t="shared" si="166"/>
        <v>0.75</v>
      </c>
    </row>
    <row r="141" spans="1:21" x14ac:dyDescent="0.2">
      <c r="A141" s="2">
        <v>44743</v>
      </c>
      <c r="B141">
        <f t="shared" si="156"/>
        <v>2022</v>
      </c>
      <c r="C141">
        <f t="shared" si="157"/>
        <v>7</v>
      </c>
      <c r="E141" s="88">
        <f t="shared" si="167"/>
        <v>719649.09172747855</v>
      </c>
      <c r="F141" s="88"/>
      <c r="G141" s="78">
        <v>0</v>
      </c>
      <c r="H141" s="78">
        <v>269.41000000000003</v>
      </c>
      <c r="I141" s="78">
        <f t="shared" si="163"/>
        <v>0</v>
      </c>
      <c r="J141" s="78">
        <f t="shared" si="164"/>
        <v>269.41000000000003</v>
      </c>
      <c r="K141" s="30">
        <f t="shared" si="158"/>
        <v>0</v>
      </c>
      <c r="L141" s="93">
        <f>'Rate Class Customer Model'!E66</f>
        <v>2948.7479504614444</v>
      </c>
      <c r="M141" s="30">
        <f t="shared" si="159"/>
        <v>139</v>
      </c>
      <c r="N141" s="100">
        <f t="shared" si="165"/>
        <v>0.375</v>
      </c>
      <c r="O141" s="30">
        <f t="shared" si="160"/>
        <v>8430744.0137924924</v>
      </c>
      <c r="P141" s="30">
        <f t="shared" si="161"/>
        <v>7711094.922065014</v>
      </c>
      <c r="Q141" s="30">
        <f t="shared" si="162"/>
        <v>8430744.0137924924</v>
      </c>
      <c r="R141" s="48"/>
      <c r="S141">
        <f t="shared" si="166"/>
        <v>0.75</v>
      </c>
    </row>
    <row r="142" spans="1:21" x14ac:dyDescent="0.2">
      <c r="A142" s="2">
        <v>44774</v>
      </c>
      <c r="B142">
        <f t="shared" si="156"/>
        <v>2022</v>
      </c>
      <c r="C142">
        <f t="shared" si="157"/>
        <v>8</v>
      </c>
      <c r="E142" s="88">
        <f t="shared" si="167"/>
        <v>719649.09172747855</v>
      </c>
      <c r="F142" s="88"/>
      <c r="G142" s="78">
        <v>0</v>
      </c>
      <c r="H142" s="78">
        <v>242.46000000000004</v>
      </c>
      <c r="I142" s="78">
        <f t="shared" si="163"/>
        <v>0</v>
      </c>
      <c r="J142" s="78">
        <f t="shared" si="164"/>
        <v>242.46000000000004</v>
      </c>
      <c r="K142" s="30">
        <f t="shared" si="158"/>
        <v>0</v>
      </c>
      <c r="L142" s="93">
        <f>'Rate Class Customer Model'!E67</f>
        <v>2953.1668846751513</v>
      </c>
      <c r="M142" s="30">
        <f t="shared" si="159"/>
        <v>140</v>
      </c>
      <c r="N142" s="100">
        <f t="shared" si="165"/>
        <v>0.375</v>
      </c>
      <c r="O142" s="30">
        <f t="shared" si="160"/>
        <v>8306792.0130792381</v>
      </c>
      <c r="P142" s="30">
        <f t="shared" si="161"/>
        <v>7587142.9213517597</v>
      </c>
      <c r="Q142" s="30">
        <f t="shared" si="162"/>
        <v>8306792.0130792381</v>
      </c>
      <c r="R142" s="48"/>
      <c r="S142">
        <f t="shared" si="166"/>
        <v>0.75</v>
      </c>
    </row>
    <row r="143" spans="1:21" x14ac:dyDescent="0.2">
      <c r="A143" s="2">
        <v>44805</v>
      </c>
      <c r="B143">
        <f t="shared" si="156"/>
        <v>2022</v>
      </c>
      <c r="C143">
        <f t="shared" si="157"/>
        <v>9</v>
      </c>
      <c r="E143" s="88">
        <f t="shared" si="167"/>
        <v>719649.09172747855</v>
      </c>
      <c r="F143" s="88"/>
      <c r="G143" s="78">
        <v>10.66</v>
      </c>
      <c r="H143" s="78">
        <v>124.26999999999998</v>
      </c>
      <c r="I143" s="78">
        <f t="shared" si="163"/>
        <v>10.66</v>
      </c>
      <c r="J143" s="78">
        <f t="shared" si="164"/>
        <v>124.26999999999998</v>
      </c>
      <c r="K143" s="30">
        <f t="shared" si="158"/>
        <v>1</v>
      </c>
      <c r="L143" s="93">
        <f>'Rate Class Customer Model'!E68</f>
        <v>2957.5924410145581</v>
      </c>
      <c r="M143" s="30">
        <f t="shared" si="159"/>
        <v>141</v>
      </c>
      <c r="N143" s="100">
        <f t="shared" si="165"/>
        <v>0.375</v>
      </c>
      <c r="O143" s="30">
        <f t="shared" si="160"/>
        <v>7479539.6734467363</v>
      </c>
      <c r="P143" s="30">
        <f t="shared" si="161"/>
        <v>6759890.5817192579</v>
      </c>
      <c r="Q143" s="30">
        <f t="shared" si="162"/>
        <v>7479539.6734467363</v>
      </c>
      <c r="R143" s="48"/>
      <c r="S143">
        <f t="shared" si="166"/>
        <v>0.75</v>
      </c>
    </row>
    <row r="144" spans="1:21" x14ac:dyDescent="0.2">
      <c r="A144" s="2">
        <v>44835</v>
      </c>
      <c r="B144">
        <f t="shared" si="156"/>
        <v>2022</v>
      </c>
      <c r="C144">
        <f t="shared" si="157"/>
        <v>10</v>
      </c>
      <c r="E144" s="88">
        <f t="shared" si="167"/>
        <v>719649.09172747855</v>
      </c>
      <c r="F144" s="88"/>
      <c r="G144" s="78">
        <v>118.80999999999999</v>
      </c>
      <c r="H144" s="78">
        <v>23.209999999999997</v>
      </c>
      <c r="I144" s="78">
        <f t="shared" si="163"/>
        <v>118.80999999999999</v>
      </c>
      <c r="J144" s="78">
        <f t="shared" si="164"/>
        <v>23.209999999999997</v>
      </c>
      <c r="K144" s="30">
        <f t="shared" si="158"/>
        <v>1</v>
      </c>
      <c r="L144" s="93">
        <f>'Rate Class Customer Model'!E69</f>
        <v>2962.0246294034487</v>
      </c>
      <c r="M144" s="30">
        <f t="shared" si="159"/>
        <v>142</v>
      </c>
      <c r="N144" s="100">
        <f t="shared" si="165"/>
        <v>0.375</v>
      </c>
      <c r="O144" s="30">
        <f t="shared" si="160"/>
        <v>7359757.9812976429</v>
      </c>
      <c r="P144" s="30">
        <f t="shared" si="161"/>
        <v>6640108.8895701645</v>
      </c>
      <c r="Q144" s="30">
        <f t="shared" si="162"/>
        <v>7359757.9812976429</v>
      </c>
      <c r="R144" s="48"/>
      <c r="S144">
        <f t="shared" si="166"/>
        <v>0.75</v>
      </c>
      <c r="T144" s="132"/>
      <c r="U144" s="133"/>
    </row>
    <row r="145" spans="1:21" x14ac:dyDescent="0.2">
      <c r="A145" s="2">
        <v>44866</v>
      </c>
      <c r="B145">
        <f t="shared" si="156"/>
        <v>2022</v>
      </c>
      <c r="C145">
        <f t="shared" si="157"/>
        <v>11</v>
      </c>
      <c r="E145" s="88">
        <f t="shared" si="167"/>
        <v>719649.09172747855</v>
      </c>
      <c r="F145" s="88"/>
      <c r="G145" s="78">
        <v>307.13</v>
      </c>
      <c r="H145" s="78">
        <v>0.89</v>
      </c>
      <c r="I145" s="78">
        <f t="shared" si="163"/>
        <v>307.13</v>
      </c>
      <c r="J145" s="78">
        <f t="shared" si="164"/>
        <v>0.89</v>
      </c>
      <c r="K145" s="30">
        <f t="shared" si="158"/>
        <v>1</v>
      </c>
      <c r="L145" s="93">
        <f>'Rate Class Customer Model'!E70</f>
        <v>2966.4634597804788</v>
      </c>
      <c r="M145" s="30">
        <f t="shared" si="159"/>
        <v>143</v>
      </c>
      <c r="N145" s="100">
        <f t="shared" si="165"/>
        <v>0.375</v>
      </c>
      <c r="O145" s="30">
        <f t="shared" si="160"/>
        <v>7906711.8388897739</v>
      </c>
      <c r="P145" s="30">
        <f t="shared" si="161"/>
        <v>7187062.7471622955</v>
      </c>
      <c r="Q145" s="30">
        <f t="shared" si="162"/>
        <v>7906711.8388897739</v>
      </c>
      <c r="R145" s="48"/>
      <c r="S145">
        <f t="shared" si="166"/>
        <v>0.75</v>
      </c>
      <c r="T145" s="132"/>
      <c r="U145" s="133"/>
    </row>
    <row r="146" spans="1:21" x14ac:dyDescent="0.2">
      <c r="A146" s="2">
        <v>44896</v>
      </c>
      <c r="B146">
        <f t="shared" si="156"/>
        <v>2022</v>
      </c>
      <c r="C146">
        <f t="shared" si="157"/>
        <v>12</v>
      </c>
      <c r="E146" s="88">
        <f t="shared" si="167"/>
        <v>719649.09172747855</v>
      </c>
      <c r="F146" s="88"/>
      <c r="G146" s="78">
        <v>451.35999999999996</v>
      </c>
      <c r="H146" s="78">
        <v>0</v>
      </c>
      <c r="I146" s="78">
        <f t="shared" si="163"/>
        <v>451.35999999999996</v>
      </c>
      <c r="J146" s="78">
        <f t="shared" si="164"/>
        <v>0</v>
      </c>
      <c r="K146" s="30">
        <f t="shared" si="158"/>
        <v>0</v>
      </c>
      <c r="L146" s="93">
        <f>'Rate Class Customer Model'!E71</f>
        <v>2970.9089420991977</v>
      </c>
      <c r="M146" s="30">
        <f t="shared" si="159"/>
        <v>144</v>
      </c>
      <c r="N146" s="100">
        <f t="shared" si="165"/>
        <v>0.375</v>
      </c>
      <c r="O146" s="30">
        <f t="shared" si="160"/>
        <v>8695451.3835787997</v>
      </c>
      <c r="P146" s="30">
        <f t="shared" si="161"/>
        <v>7975802.2918513212</v>
      </c>
      <c r="Q146" s="30">
        <f t="shared" si="162"/>
        <v>8695451.3835787997</v>
      </c>
      <c r="R146" s="48"/>
      <c r="S146">
        <f t="shared" si="166"/>
        <v>0.75</v>
      </c>
      <c r="T146" s="132"/>
      <c r="U146" s="133"/>
    </row>
    <row r="147" spans="1:21" ht="12.75" customHeight="1" x14ac:dyDescent="0.2">
      <c r="A147" s="2">
        <v>44927</v>
      </c>
      <c r="B147">
        <f t="shared" si="156"/>
        <v>2023</v>
      </c>
      <c r="C147">
        <f t="shared" si="157"/>
        <v>1</v>
      </c>
      <c r="E147" s="88">
        <v>704474.46517617174</v>
      </c>
      <c r="G147" s="78">
        <f>G135</f>
        <v>563.5</v>
      </c>
      <c r="H147" s="78">
        <f>H135</f>
        <v>0</v>
      </c>
      <c r="I147" s="78">
        <f t="shared" si="163"/>
        <v>563.5</v>
      </c>
      <c r="J147" s="78">
        <f t="shared" si="164"/>
        <v>0</v>
      </c>
      <c r="K147" s="30">
        <f>K135</f>
        <v>0</v>
      </c>
      <c r="L147" s="93">
        <f>'Rate Class Customer Model'!E72</f>
        <v>2975.3610863280715</v>
      </c>
      <c r="M147" s="30">
        <f t="shared" si="159"/>
        <v>145</v>
      </c>
      <c r="N147" s="100">
        <f t="shared" si="165"/>
        <v>0.25</v>
      </c>
      <c r="O147" s="30">
        <f t="shared" si="160"/>
        <v>9175962.195714755</v>
      </c>
      <c r="P147" s="30">
        <f t="shared" si="161"/>
        <v>8471487.7305385824</v>
      </c>
      <c r="Q147" s="30">
        <f t="shared" si="162"/>
        <v>9175962.195714755</v>
      </c>
      <c r="R147" s="48"/>
      <c r="S147">
        <v>0.5</v>
      </c>
      <c r="T147" s="28"/>
      <c r="U147" s="39"/>
    </row>
    <row r="148" spans="1:21" x14ac:dyDescent="0.2">
      <c r="A148" s="2">
        <v>44958</v>
      </c>
      <c r="B148">
        <f t="shared" si="156"/>
        <v>2023</v>
      </c>
      <c r="C148">
        <f t="shared" si="157"/>
        <v>2</v>
      </c>
      <c r="E148" s="58">
        <f>E147</f>
        <v>704474.46517617174</v>
      </c>
      <c r="G148" s="78">
        <f t="shared" ref="G148:K158" si="168">G136</f>
        <v>516.6099999999999</v>
      </c>
      <c r="H148" s="78">
        <f t="shared" si="168"/>
        <v>0</v>
      </c>
      <c r="I148" s="78">
        <f t="shared" si="163"/>
        <v>516.6099999999999</v>
      </c>
      <c r="J148" s="78">
        <f t="shared" si="164"/>
        <v>0</v>
      </c>
      <c r="K148" s="30">
        <f t="shared" si="168"/>
        <v>0</v>
      </c>
      <c r="L148" s="93">
        <f>'Rate Class Customer Model'!E73</f>
        <v>2979.8199024505038</v>
      </c>
      <c r="M148" s="30">
        <f t="shared" si="159"/>
        <v>146</v>
      </c>
      <c r="N148" s="100">
        <f t="shared" si="165"/>
        <v>0.25</v>
      </c>
      <c r="O148" s="30">
        <f t="shared" si="160"/>
        <v>9024710.3319029883</v>
      </c>
      <c r="P148" s="30">
        <f t="shared" si="161"/>
        <v>8320235.8667268166</v>
      </c>
      <c r="Q148" s="30">
        <f t="shared" si="162"/>
        <v>9024710.3319029883</v>
      </c>
      <c r="R148" s="48"/>
      <c r="S148">
        <f t="shared" si="166"/>
        <v>0.5</v>
      </c>
      <c r="T148" s="28"/>
      <c r="U148" s="39"/>
    </row>
    <row r="149" spans="1:21" x14ac:dyDescent="0.2">
      <c r="A149" s="2">
        <v>44986</v>
      </c>
      <c r="B149">
        <f t="shared" si="156"/>
        <v>2023</v>
      </c>
      <c r="C149">
        <f t="shared" si="157"/>
        <v>3</v>
      </c>
      <c r="E149" s="58">
        <f t="shared" ref="E149:E158" si="169">E148</f>
        <v>704474.46517617174</v>
      </c>
      <c r="G149" s="78">
        <f t="shared" si="168"/>
        <v>409.90999999999997</v>
      </c>
      <c r="H149" s="78">
        <f t="shared" si="168"/>
        <v>1.1599999999999999</v>
      </c>
      <c r="I149" s="78">
        <f t="shared" si="163"/>
        <v>409.90999999999997</v>
      </c>
      <c r="J149" s="78">
        <f t="shared" si="164"/>
        <v>1.1599999999999999</v>
      </c>
      <c r="K149" s="30">
        <f t="shared" si="168"/>
        <v>0</v>
      </c>
      <c r="L149" s="93">
        <f>'Rate Class Customer Model'!E74</f>
        <v>2984.2854004648602</v>
      </c>
      <c r="M149" s="30">
        <f t="shared" si="159"/>
        <v>147</v>
      </c>
      <c r="N149" s="100">
        <f t="shared" si="165"/>
        <v>0.25</v>
      </c>
      <c r="O149" s="30">
        <f t="shared" si="160"/>
        <v>8673506.0014392994</v>
      </c>
      <c r="P149" s="30">
        <f t="shared" si="161"/>
        <v>7969031.5362631278</v>
      </c>
      <c r="Q149" s="30">
        <f t="shared" si="162"/>
        <v>8673506.0014392994</v>
      </c>
      <c r="R149" s="48"/>
      <c r="S149">
        <f t="shared" si="166"/>
        <v>0.5</v>
      </c>
      <c r="T149" s="28"/>
      <c r="U149" s="39"/>
    </row>
    <row r="150" spans="1:21" x14ac:dyDescent="0.2">
      <c r="A150" s="2">
        <v>45017</v>
      </c>
      <c r="B150">
        <f t="shared" si="156"/>
        <v>2023</v>
      </c>
      <c r="C150">
        <f t="shared" si="157"/>
        <v>4</v>
      </c>
      <c r="E150" s="58">
        <f t="shared" si="169"/>
        <v>704474.46517617174</v>
      </c>
      <c r="G150" s="78">
        <f t="shared" si="168"/>
        <v>227.5</v>
      </c>
      <c r="H150" s="78">
        <f t="shared" si="168"/>
        <v>2.3099999999999996</v>
      </c>
      <c r="I150" s="78">
        <f t="shared" si="163"/>
        <v>227.5</v>
      </c>
      <c r="J150" s="78">
        <f t="shared" si="164"/>
        <v>2.3099999999999996</v>
      </c>
      <c r="K150" s="30">
        <f t="shared" si="168"/>
        <v>0</v>
      </c>
      <c r="L150" s="93">
        <f>'Rate Class Customer Model'!E75</f>
        <v>2988.757590384489</v>
      </c>
      <c r="M150" s="30">
        <f t="shared" si="159"/>
        <v>148</v>
      </c>
      <c r="N150" s="100">
        <f t="shared" si="165"/>
        <v>0.25</v>
      </c>
      <c r="O150" s="30">
        <f t="shared" si="160"/>
        <v>8061844.8233898431</v>
      </c>
      <c r="P150" s="30">
        <f t="shared" si="161"/>
        <v>7357370.3582136715</v>
      </c>
      <c r="Q150" s="30">
        <f t="shared" si="162"/>
        <v>8061844.8233898431</v>
      </c>
      <c r="R150" s="48"/>
      <c r="S150">
        <f t="shared" si="166"/>
        <v>0.5</v>
      </c>
      <c r="T150" s="28"/>
      <c r="U150" s="39"/>
    </row>
    <row r="151" spans="1:21" x14ac:dyDescent="0.2">
      <c r="A151" s="2">
        <v>45047</v>
      </c>
      <c r="B151">
        <f t="shared" si="156"/>
        <v>2023</v>
      </c>
      <c r="C151">
        <f t="shared" si="157"/>
        <v>5</v>
      </c>
      <c r="E151" s="58">
        <f t="shared" si="169"/>
        <v>704474.46517617174</v>
      </c>
      <c r="G151" s="78">
        <f t="shared" si="168"/>
        <v>59.269999999999982</v>
      </c>
      <c r="H151" s="78">
        <f t="shared" si="168"/>
        <v>70.86</v>
      </c>
      <c r="I151" s="78">
        <f t="shared" si="163"/>
        <v>59.269999999999982</v>
      </c>
      <c r="J151" s="78">
        <f t="shared" si="164"/>
        <v>70.86</v>
      </c>
      <c r="K151" s="30">
        <f t="shared" si="168"/>
        <v>0</v>
      </c>
      <c r="L151" s="93">
        <f>'Rate Class Customer Model'!E76</f>
        <v>2993.2364822377444</v>
      </c>
      <c r="M151" s="30">
        <f t="shared" si="159"/>
        <v>149</v>
      </c>
      <c r="N151" s="100">
        <f t="shared" si="165"/>
        <v>0.25</v>
      </c>
      <c r="O151" s="30">
        <f t="shared" si="160"/>
        <v>7833615.5089242887</v>
      </c>
      <c r="P151" s="30">
        <f t="shared" si="161"/>
        <v>7129141.0437481171</v>
      </c>
      <c r="Q151" s="30">
        <f t="shared" si="162"/>
        <v>7833615.5089242887</v>
      </c>
      <c r="R151" s="48"/>
      <c r="S151">
        <f t="shared" si="166"/>
        <v>0.5</v>
      </c>
      <c r="T151" s="28"/>
      <c r="U151" s="39"/>
    </row>
    <row r="152" spans="1:21" x14ac:dyDescent="0.2">
      <c r="A152" s="2">
        <v>45078</v>
      </c>
      <c r="B152">
        <f t="shared" si="156"/>
        <v>2023</v>
      </c>
      <c r="C152">
        <f t="shared" si="157"/>
        <v>6</v>
      </c>
      <c r="E152" s="58">
        <f t="shared" si="169"/>
        <v>704474.46517617174</v>
      </c>
      <c r="G152" s="78">
        <f t="shared" si="168"/>
        <v>1.85</v>
      </c>
      <c r="H152" s="78">
        <f t="shared" si="168"/>
        <v>171.74</v>
      </c>
      <c r="I152" s="78">
        <f t="shared" si="163"/>
        <v>1.85</v>
      </c>
      <c r="J152" s="78">
        <f t="shared" si="164"/>
        <v>171.74</v>
      </c>
      <c r="K152" s="30">
        <f t="shared" si="168"/>
        <v>0</v>
      </c>
      <c r="L152" s="93">
        <f>'Rate Class Customer Model'!E77</f>
        <v>2997.7220860680095</v>
      </c>
      <c r="M152" s="30">
        <f t="shared" si="159"/>
        <v>150</v>
      </c>
      <c r="N152" s="100">
        <f t="shared" si="165"/>
        <v>0.25</v>
      </c>
      <c r="O152" s="30">
        <f t="shared" si="160"/>
        <v>8147112.9458394749</v>
      </c>
      <c r="P152" s="30">
        <f t="shared" si="161"/>
        <v>7442638.4806633033</v>
      </c>
      <c r="Q152" s="30">
        <f t="shared" si="162"/>
        <v>8147112.9458394749</v>
      </c>
      <c r="R152" s="48"/>
      <c r="S152">
        <f t="shared" si="166"/>
        <v>0.5</v>
      </c>
      <c r="T152" s="28"/>
      <c r="U152" s="39"/>
    </row>
    <row r="153" spans="1:21" x14ac:dyDescent="0.2">
      <c r="A153" s="2">
        <v>45108</v>
      </c>
      <c r="B153">
        <f t="shared" si="156"/>
        <v>2023</v>
      </c>
      <c r="C153">
        <f t="shared" si="157"/>
        <v>7</v>
      </c>
      <c r="E153" s="58">
        <f t="shared" si="169"/>
        <v>704474.46517617174</v>
      </c>
      <c r="G153" s="78">
        <f t="shared" si="168"/>
        <v>0</v>
      </c>
      <c r="H153" s="78">
        <f t="shared" si="168"/>
        <v>269.41000000000003</v>
      </c>
      <c r="I153" s="78">
        <f t="shared" si="163"/>
        <v>0</v>
      </c>
      <c r="J153" s="78">
        <f t="shared" si="164"/>
        <v>269.41000000000003</v>
      </c>
      <c r="K153" s="30">
        <f t="shared" si="168"/>
        <v>0</v>
      </c>
      <c r="L153" s="93">
        <f>'Rate Class Customer Model'!E78</f>
        <v>3002.2144119337172</v>
      </c>
      <c r="M153" s="30">
        <f t="shared" si="159"/>
        <v>151</v>
      </c>
      <c r="N153" s="100">
        <f t="shared" si="165"/>
        <v>0.25</v>
      </c>
      <c r="O153" s="30">
        <f t="shared" si="160"/>
        <v>8635868.0366723388</v>
      </c>
      <c r="P153" s="30">
        <f t="shared" si="161"/>
        <v>7931393.5714961672</v>
      </c>
      <c r="Q153" s="30">
        <f t="shared" si="162"/>
        <v>8635868.0366723388</v>
      </c>
      <c r="R153" s="48"/>
      <c r="S153">
        <f t="shared" si="166"/>
        <v>0.5</v>
      </c>
      <c r="T153" s="28"/>
      <c r="U153" s="39"/>
    </row>
    <row r="154" spans="1:21" x14ac:dyDescent="0.2">
      <c r="A154" s="2">
        <v>45139</v>
      </c>
      <c r="B154">
        <f t="shared" si="156"/>
        <v>2023</v>
      </c>
      <c r="C154">
        <f t="shared" si="157"/>
        <v>8</v>
      </c>
      <c r="E154" s="58">
        <f t="shared" si="169"/>
        <v>704474.46517617174</v>
      </c>
      <c r="G154" s="78">
        <f t="shared" si="168"/>
        <v>0</v>
      </c>
      <c r="H154" s="78">
        <f t="shared" si="168"/>
        <v>242.46000000000004</v>
      </c>
      <c r="I154" s="78">
        <f t="shared" si="163"/>
        <v>0</v>
      </c>
      <c r="J154" s="78">
        <f t="shared" si="164"/>
        <v>242.46000000000004</v>
      </c>
      <c r="K154" s="30">
        <f t="shared" si="168"/>
        <v>0</v>
      </c>
      <c r="L154" s="93">
        <f>'Rate Class Customer Model'!E79</f>
        <v>3006.7134699083745</v>
      </c>
      <c r="M154" s="30">
        <f t="shared" si="159"/>
        <v>152</v>
      </c>
      <c r="N154" s="100">
        <f t="shared" si="165"/>
        <v>0.25</v>
      </c>
      <c r="O154" s="30">
        <f t="shared" si="160"/>
        <v>8512324.296115486</v>
      </c>
      <c r="P154" s="30">
        <f t="shared" si="161"/>
        <v>7807849.8309393143</v>
      </c>
      <c r="Q154" s="30">
        <f t="shared" si="162"/>
        <v>8512324.296115486</v>
      </c>
      <c r="R154" s="48"/>
      <c r="S154">
        <f t="shared" si="166"/>
        <v>0.5</v>
      </c>
      <c r="T154" s="28"/>
      <c r="U154" s="39"/>
    </row>
    <row r="155" spans="1:21" x14ac:dyDescent="0.2">
      <c r="A155" s="2">
        <v>45170</v>
      </c>
      <c r="B155">
        <f t="shared" si="156"/>
        <v>2023</v>
      </c>
      <c r="C155">
        <f t="shared" si="157"/>
        <v>9</v>
      </c>
      <c r="E155" s="58">
        <f t="shared" si="169"/>
        <v>704474.46517617174</v>
      </c>
      <c r="G155" s="78">
        <f t="shared" si="168"/>
        <v>10.66</v>
      </c>
      <c r="H155" s="78">
        <f t="shared" si="168"/>
        <v>124.26999999999998</v>
      </c>
      <c r="I155" s="78">
        <f t="shared" si="163"/>
        <v>10.66</v>
      </c>
      <c r="J155" s="78">
        <f t="shared" si="164"/>
        <v>124.26999999999998</v>
      </c>
      <c r="K155" s="30">
        <f t="shared" si="168"/>
        <v>1</v>
      </c>
      <c r="L155" s="93">
        <f>'Rate Class Customer Model'!E80</f>
        <v>3011.219270080584</v>
      </c>
      <c r="M155" s="30">
        <f t="shared" si="159"/>
        <v>153</v>
      </c>
      <c r="N155" s="100">
        <f t="shared" si="165"/>
        <v>0.25</v>
      </c>
      <c r="O155" s="30">
        <f t="shared" si="160"/>
        <v>7685480.828449823</v>
      </c>
      <c r="P155" s="30">
        <f t="shared" si="161"/>
        <v>6981006.3632736513</v>
      </c>
      <c r="Q155" s="30">
        <f t="shared" si="162"/>
        <v>7685480.828449823</v>
      </c>
      <c r="R155" s="48"/>
      <c r="S155">
        <f t="shared" si="166"/>
        <v>0.5</v>
      </c>
      <c r="T155" s="28"/>
      <c r="U155" s="39"/>
    </row>
    <row r="156" spans="1:21" x14ac:dyDescent="0.2">
      <c r="A156" s="2">
        <v>45200</v>
      </c>
      <c r="B156">
        <f t="shared" si="156"/>
        <v>2023</v>
      </c>
      <c r="C156">
        <f t="shared" si="157"/>
        <v>10</v>
      </c>
      <c r="E156" s="58">
        <f t="shared" si="169"/>
        <v>704474.46517617174</v>
      </c>
      <c r="G156" s="78">
        <f t="shared" si="168"/>
        <v>118.80999999999999</v>
      </c>
      <c r="H156" s="78">
        <f t="shared" si="168"/>
        <v>23.209999999999997</v>
      </c>
      <c r="I156" s="78">
        <f t="shared" si="163"/>
        <v>118.80999999999999</v>
      </c>
      <c r="J156" s="78">
        <f t="shared" si="164"/>
        <v>23.209999999999997</v>
      </c>
      <c r="K156" s="30">
        <f t="shared" si="168"/>
        <v>1</v>
      </c>
      <c r="L156" s="93">
        <f>'Rate Class Customer Model'!E81</f>
        <v>3015.7318225540671</v>
      </c>
      <c r="M156" s="30">
        <f t="shared" si="159"/>
        <v>154</v>
      </c>
      <c r="N156" s="100">
        <f t="shared" si="165"/>
        <v>0.25</v>
      </c>
      <c r="O156" s="30">
        <f t="shared" si="160"/>
        <v>7566108.6209948547</v>
      </c>
      <c r="P156" s="30">
        <f t="shared" si="161"/>
        <v>6861634.1558186831</v>
      </c>
      <c r="Q156" s="30">
        <f t="shared" si="162"/>
        <v>7566108.6209948547</v>
      </c>
      <c r="R156" s="48"/>
      <c r="S156">
        <f t="shared" si="166"/>
        <v>0.5</v>
      </c>
      <c r="T156" s="28"/>
      <c r="U156" s="39"/>
    </row>
    <row r="157" spans="1:21" x14ac:dyDescent="0.2">
      <c r="A157" s="2">
        <v>45231</v>
      </c>
      <c r="B157">
        <f t="shared" si="156"/>
        <v>2023</v>
      </c>
      <c r="C157">
        <f t="shared" si="157"/>
        <v>11</v>
      </c>
      <c r="E157" s="58">
        <f t="shared" si="169"/>
        <v>704474.46517617174</v>
      </c>
      <c r="G157" s="78">
        <f t="shared" si="168"/>
        <v>307.13</v>
      </c>
      <c r="H157" s="78">
        <f t="shared" si="168"/>
        <v>0.89</v>
      </c>
      <c r="I157" s="78">
        <f t="shared" si="163"/>
        <v>307.13</v>
      </c>
      <c r="J157" s="78">
        <f t="shared" si="164"/>
        <v>0.89</v>
      </c>
      <c r="K157" s="30">
        <f t="shared" si="168"/>
        <v>1</v>
      </c>
      <c r="L157" s="93">
        <f>'Rate Class Customer Model'!E82</f>
        <v>3020.2511374476858</v>
      </c>
      <c r="M157" s="30">
        <f t="shared" si="159"/>
        <v>155</v>
      </c>
      <c r="N157" s="100">
        <f t="shared" si="165"/>
        <v>0.25</v>
      </c>
      <c r="O157" s="30">
        <f t="shared" si="160"/>
        <v>8113472.5769266132</v>
      </c>
      <c r="P157" s="30">
        <f t="shared" si="161"/>
        <v>7408998.1117504416</v>
      </c>
      <c r="Q157" s="30">
        <f t="shared" si="162"/>
        <v>8113472.5769266132</v>
      </c>
      <c r="R157" s="48"/>
      <c r="S157">
        <f t="shared" si="166"/>
        <v>0.5</v>
      </c>
      <c r="T157" s="28"/>
    </row>
    <row r="158" spans="1:21" x14ac:dyDescent="0.2">
      <c r="A158" s="2">
        <v>45261</v>
      </c>
      <c r="B158">
        <f t="shared" si="156"/>
        <v>2023</v>
      </c>
      <c r="C158">
        <f t="shared" si="157"/>
        <v>12</v>
      </c>
      <c r="E158" s="58">
        <f t="shared" si="169"/>
        <v>704474.46517617174</v>
      </c>
      <c r="G158" s="78">
        <f t="shared" si="168"/>
        <v>451.35999999999996</v>
      </c>
      <c r="H158" s="78">
        <f t="shared" si="168"/>
        <v>0</v>
      </c>
      <c r="I158" s="78">
        <f t="shared" si="163"/>
        <v>451.35999999999996</v>
      </c>
      <c r="J158" s="78">
        <f t="shared" si="164"/>
        <v>0</v>
      </c>
      <c r="K158" s="30">
        <f t="shared" si="168"/>
        <v>0</v>
      </c>
      <c r="L158" s="93">
        <f>'Rate Class Customer Model'!E83</f>
        <v>3024.777224895467</v>
      </c>
      <c r="M158" s="30">
        <f t="shared" si="159"/>
        <v>156</v>
      </c>
      <c r="N158" s="100">
        <f t="shared" si="165"/>
        <v>0.25</v>
      </c>
      <c r="O158" s="30">
        <f t="shared" si="160"/>
        <v>8902622.8345203679</v>
      </c>
      <c r="P158" s="30">
        <f t="shared" si="161"/>
        <v>8198148.3693441963</v>
      </c>
      <c r="Q158" s="30">
        <f t="shared" si="162"/>
        <v>8902622.8345203679</v>
      </c>
      <c r="R158" s="48"/>
      <c r="S158">
        <f t="shared" si="166"/>
        <v>0.5</v>
      </c>
      <c r="T158" s="28"/>
    </row>
    <row r="159" spans="1:21" x14ac:dyDescent="0.2">
      <c r="A159" s="2"/>
      <c r="B159" s="2"/>
      <c r="C159" s="2"/>
      <c r="D159" s="2"/>
      <c r="E159" s="2"/>
      <c r="G159" s="50">
        <f>SUM(G3:G158)</f>
        <v>34678.400000000009</v>
      </c>
      <c r="H159" s="50">
        <f>SUM(H3:H158)</f>
        <v>11795.32</v>
      </c>
      <c r="I159" s="50"/>
      <c r="J159" s="50"/>
      <c r="K159" s="30"/>
      <c r="L159" s="56"/>
      <c r="M159" s="30"/>
      <c r="N159" s="30"/>
      <c r="O159" s="30"/>
      <c r="P159" s="30"/>
      <c r="Q159" s="30"/>
      <c r="R159" s="77">
        <f>AVERAGE(R3:R134)</f>
        <v>2.1850557156217622E-2</v>
      </c>
    </row>
    <row r="160" spans="1:21" x14ac:dyDescent="0.2">
      <c r="A160" s="2"/>
      <c r="B160" s="2"/>
      <c r="C160" s="2"/>
      <c r="D160" s="2"/>
      <c r="E160" s="2"/>
      <c r="G160" s="50"/>
      <c r="H160" s="50"/>
      <c r="I160" s="50"/>
      <c r="J160" s="50"/>
      <c r="K160" s="30"/>
      <c r="L160" s="56"/>
      <c r="M160" s="30"/>
      <c r="N160" s="30"/>
      <c r="O160" s="30"/>
      <c r="P160" s="30"/>
      <c r="Q160" s="30"/>
      <c r="R160" s="48"/>
    </row>
    <row r="161" spans="1:33" x14ac:dyDescent="0.2">
      <c r="A161" s="2"/>
      <c r="B161" s="2"/>
      <c r="C161" s="2"/>
      <c r="D161" s="2"/>
      <c r="E161" s="2"/>
      <c r="G161" s="50"/>
      <c r="H161" s="50"/>
      <c r="I161" s="50"/>
      <c r="J161" s="50"/>
      <c r="K161" s="30"/>
      <c r="L161" s="56"/>
      <c r="M161" s="30"/>
      <c r="N161" s="30"/>
      <c r="O161" s="30"/>
      <c r="P161" s="30"/>
      <c r="Q161" s="30"/>
      <c r="R161" s="48"/>
    </row>
    <row r="162" spans="1:33" x14ac:dyDescent="0.2">
      <c r="A162" s="2"/>
      <c r="B162" s="2"/>
      <c r="C162" s="2"/>
      <c r="D162" s="2"/>
      <c r="E162" s="2"/>
      <c r="G162" s="50"/>
      <c r="H162" s="50"/>
      <c r="I162" s="50"/>
      <c r="J162" s="50"/>
      <c r="K162" s="30"/>
      <c r="L162" s="56"/>
      <c r="M162" s="30"/>
      <c r="N162" s="30"/>
      <c r="O162" s="30"/>
      <c r="P162" s="30"/>
      <c r="Q162" s="30"/>
      <c r="R162" s="48"/>
    </row>
    <row r="163" spans="1:33" x14ac:dyDescent="0.2">
      <c r="A163" s="2"/>
      <c r="B163" s="2"/>
      <c r="C163" s="2"/>
      <c r="D163" s="2"/>
      <c r="E163" s="2"/>
      <c r="G163" s="50"/>
      <c r="H163" s="50"/>
      <c r="I163" s="50"/>
      <c r="J163" s="50"/>
      <c r="M163" s="27"/>
      <c r="O163" s="25"/>
      <c r="P163" s="25"/>
    </row>
    <row r="164" spans="1:33" x14ac:dyDescent="0.2">
      <c r="A164" s="2"/>
      <c r="B164" s="2"/>
      <c r="C164" s="2"/>
      <c r="D164" s="2"/>
      <c r="E164" s="2"/>
    </row>
    <row r="165" spans="1:33" x14ac:dyDescent="0.2">
      <c r="A165" s="2"/>
      <c r="B165" s="2"/>
      <c r="C165" s="2"/>
      <c r="D165" s="85" t="s">
        <v>82</v>
      </c>
      <c r="E165" s="85" t="s">
        <v>72</v>
      </c>
      <c r="F165" s="37" t="s">
        <v>73</v>
      </c>
      <c r="L165" s="1"/>
      <c r="N165" s="55"/>
      <c r="P165" s="76" t="s">
        <v>83</v>
      </c>
      <c r="Q165" s="76" t="s">
        <v>72</v>
      </c>
      <c r="R165" s="76" t="s">
        <v>84</v>
      </c>
    </row>
    <row r="166" spans="1:33" x14ac:dyDescent="0.2">
      <c r="A166" s="10">
        <v>2011</v>
      </c>
      <c r="B166" s="10"/>
      <c r="C166" s="10"/>
      <c r="D166" s="39">
        <f>SUMIF(B:B,A166,D:D)</f>
        <v>83338833.540000021</v>
      </c>
      <c r="E166" s="39">
        <f>SUMIF(B:B,A166,E:E)</f>
        <v>113611.44815883051</v>
      </c>
      <c r="F166" s="5">
        <f>SUMIF(B:B,A166,F:F)</f>
        <v>83452444.988158852</v>
      </c>
      <c r="L166" s="1"/>
      <c r="N166" s="55"/>
      <c r="P166" s="5">
        <f t="shared" ref="P166:P178" si="170">SUMIF(B:B,A166,O:O)</f>
        <v>83343120.714443624</v>
      </c>
      <c r="Q166" s="55">
        <v>113611.44815883054</v>
      </c>
      <c r="R166" s="55">
        <f t="shared" ref="R166:R178" si="171">SUMIF(B:B,A166,P:P)</f>
        <v>83229509.266284794</v>
      </c>
    </row>
    <row r="167" spans="1:33" x14ac:dyDescent="0.2">
      <c r="A167" s="10">
        <f>A166+1</f>
        <v>2012</v>
      </c>
      <c r="B167" s="10"/>
      <c r="C167" s="10"/>
      <c r="D167" s="39">
        <f t="shared" ref="D167:D175" si="172">SUMIF(B:B,A167,D:D)</f>
        <v>84168273.069999993</v>
      </c>
      <c r="E167" s="39">
        <f t="shared" ref="E167:E176" si="173">SUMIF(B:B,A167,E:E)</f>
        <v>385670.09388452605</v>
      </c>
      <c r="F167" s="5">
        <f t="shared" ref="F167:F176" si="174">SUMIF(B:B,A167,F:F)</f>
        <v>84553943.163884521</v>
      </c>
      <c r="L167" s="1"/>
      <c r="N167" s="55"/>
      <c r="P167" s="5">
        <f t="shared" si="170"/>
        <v>85661349.203548014</v>
      </c>
      <c r="Q167" s="55">
        <v>385670.09388452594</v>
      </c>
      <c r="R167" s="55">
        <f t="shared" si="171"/>
        <v>85275679.109663457</v>
      </c>
    </row>
    <row r="168" spans="1:33" x14ac:dyDescent="0.2">
      <c r="A168" s="10">
        <f t="shared" ref="A168:A178" si="175">A167+1</f>
        <v>2013</v>
      </c>
      <c r="B168" s="10"/>
      <c r="C168" s="10"/>
      <c r="D168" s="39">
        <f t="shared" si="172"/>
        <v>87021883.129999995</v>
      </c>
      <c r="E168" s="39">
        <f t="shared" si="173"/>
        <v>773377.78722497867</v>
      </c>
      <c r="F168" s="5">
        <f t="shared" si="174"/>
        <v>87795260.917224973</v>
      </c>
      <c r="L168" s="1"/>
      <c r="N168" s="55"/>
      <c r="P168" s="5">
        <f t="shared" si="170"/>
        <v>87867221.570984975</v>
      </c>
      <c r="Q168" s="55">
        <v>773377.78722497891</v>
      </c>
      <c r="R168" s="55">
        <f t="shared" si="171"/>
        <v>87093843.783759996</v>
      </c>
    </row>
    <row r="169" spans="1:33" x14ac:dyDescent="0.2">
      <c r="A169" s="10">
        <f t="shared" si="175"/>
        <v>2014</v>
      </c>
      <c r="D169" s="39">
        <f t="shared" si="172"/>
        <v>88384426.730000004</v>
      </c>
      <c r="E169" s="39">
        <f t="shared" si="173"/>
        <v>1266618.7406463188</v>
      </c>
      <c r="F169" s="5">
        <f t="shared" si="174"/>
        <v>89651045.470646307</v>
      </c>
      <c r="L169" s="1"/>
      <c r="N169" s="55"/>
      <c r="P169" s="5">
        <f t="shared" si="170"/>
        <v>88987898.997741833</v>
      </c>
      <c r="Q169" s="55">
        <v>1266618.7406463188</v>
      </c>
      <c r="R169" s="55">
        <f t="shared" si="171"/>
        <v>87721280.257095516</v>
      </c>
    </row>
    <row r="170" spans="1:33" x14ac:dyDescent="0.2">
      <c r="A170" s="10">
        <f t="shared" si="175"/>
        <v>2015</v>
      </c>
      <c r="B170" s="10"/>
      <c r="C170" s="10"/>
      <c r="D170" s="39">
        <f t="shared" si="172"/>
        <v>88333188.626506001</v>
      </c>
      <c r="E170" s="39">
        <f t="shared" si="173"/>
        <v>2339249.6059254631</v>
      </c>
      <c r="F170" s="5">
        <f t="shared" si="174"/>
        <v>90672438.232431471</v>
      </c>
      <c r="L170" s="1"/>
      <c r="N170" s="55"/>
      <c r="P170" s="5">
        <f t="shared" si="170"/>
        <v>90462343.928102896</v>
      </c>
      <c r="Q170" s="55">
        <v>2339249.6059254631</v>
      </c>
      <c r="R170" s="55">
        <f t="shared" si="171"/>
        <v>88123094.322177455</v>
      </c>
      <c r="AE170" s="37"/>
      <c r="AF170" s="37"/>
      <c r="AG170" s="37"/>
    </row>
    <row r="171" spans="1:33" x14ac:dyDescent="0.2">
      <c r="A171" s="10">
        <f t="shared" si="175"/>
        <v>2016</v>
      </c>
      <c r="D171" s="39">
        <f t="shared" si="172"/>
        <v>88749928.414457858</v>
      </c>
      <c r="E171" s="39">
        <f t="shared" si="173"/>
        <v>3982403.6897298838</v>
      </c>
      <c r="F171" s="5">
        <f t="shared" si="174"/>
        <v>92732332.104187712</v>
      </c>
      <c r="L171" s="1"/>
      <c r="N171" s="55"/>
      <c r="P171" s="5">
        <f t="shared" si="170"/>
        <v>92268550.403686479</v>
      </c>
      <c r="Q171" s="55">
        <v>3982403.6897298833</v>
      </c>
      <c r="R171" s="55">
        <f t="shared" si="171"/>
        <v>88286146.713956565</v>
      </c>
    </row>
    <row r="172" spans="1:33" x14ac:dyDescent="0.2">
      <c r="A172" s="10">
        <f t="shared" si="175"/>
        <v>2017</v>
      </c>
      <c r="B172" s="10"/>
      <c r="C172" s="10"/>
      <c r="D172" s="39">
        <f t="shared" si="172"/>
        <v>82899471.903614432</v>
      </c>
      <c r="E172" s="39">
        <f t="shared" si="173"/>
        <v>5103921.7460673954</v>
      </c>
      <c r="F172" s="5">
        <f t="shared" si="174"/>
        <v>88003393.649681836</v>
      </c>
      <c r="L172" s="1"/>
      <c r="N172" s="55"/>
      <c r="P172" s="5">
        <f t="shared" si="170"/>
        <v>88776340.111499786</v>
      </c>
      <c r="Q172" s="55">
        <v>5103921.7460673954</v>
      </c>
      <c r="R172" s="55">
        <f t="shared" si="171"/>
        <v>83672418.365432382</v>
      </c>
    </row>
    <row r="173" spans="1:33" x14ac:dyDescent="0.2">
      <c r="A173" s="10">
        <f t="shared" si="175"/>
        <v>2018</v>
      </c>
      <c r="D173" s="39">
        <f t="shared" si="172"/>
        <v>86093744.838554204</v>
      </c>
      <c r="E173" s="39">
        <f t="shared" si="173"/>
        <v>6203925.366380427</v>
      </c>
      <c r="F173" s="5">
        <f t="shared" si="174"/>
        <v>92297670.204934612</v>
      </c>
      <c r="L173" s="1"/>
      <c r="N173" s="55"/>
      <c r="P173" s="5">
        <f t="shared" si="170"/>
        <v>91189753.240700826</v>
      </c>
      <c r="Q173" s="55">
        <v>6203925.3663804261</v>
      </c>
      <c r="R173" s="55">
        <f t="shared" si="171"/>
        <v>84985827.874320388</v>
      </c>
    </row>
    <row r="174" spans="1:33" x14ac:dyDescent="0.2">
      <c r="A174" s="10">
        <f t="shared" si="175"/>
        <v>2019</v>
      </c>
      <c r="B174" s="10"/>
      <c r="C174" s="10"/>
      <c r="D174" s="39">
        <f t="shared" si="172"/>
        <v>83808650.746987954</v>
      </c>
      <c r="E174" s="39">
        <f t="shared" si="173"/>
        <v>7283282.6936984016</v>
      </c>
      <c r="F174" s="5">
        <f t="shared" si="174"/>
        <v>91091933.440686345</v>
      </c>
      <c r="L174" s="1"/>
      <c r="N174" s="55"/>
      <c r="P174" s="5">
        <f t="shared" si="170"/>
        <v>90835396.928478882</v>
      </c>
      <c r="Q174" s="55">
        <v>7283282.6936984016</v>
      </c>
      <c r="R174" s="55">
        <f t="shared" si="171"/>
        <v>83552114.23478049</v>
      </c>
    </row>
    <row r="175" spans="1:33" x14ac:dyDescent="0.2">
      <c r="A175" s="10">
        <f t="shared" si="175"/>
        <v>2020</v>
      </c>
      <c r="D175" s="39">
        <f t="shared" si="172"/>
        <v>79694764.992771059</v>
      </c>
      <c r="E175" s="39">
        <f t="shared" si="173"/>
        <v>7797753.6168311285</v>
      </c>
      <c r="F175" s="5">
        <f t="shared" si="174"/>
        <v>87492518.609602198</v>
      </c>
      <c r="L175" s="1"/>
      <c r="N175" s="55"/>
      <c r="P175" s="5">
        <f t="shared" si="170"/>
        <v>87837252.197607398</v>
      </c>
      <c r="Q175" s="55">
        <v>7797753.6168311285</v>
      </c>
      <c r="R175" s="55">
        <f t="shared" si="171"/>
        <v>80039498.580776259</v>
      </c>
      <c r="S175" s="5"/>
    </row>
    <row r="176" spans="1:33" x14ac:dyDescent="0.2">
      <c r="A176" s="10">
        <f t="shared" si="175"/>
        <v>2021</v>
      </c>
      <c r="B176" s="10"/>
      <c r="C176" s="10"/>
      <c r="D176" s="39">
        <f>SUMIF(B:B,A176,D:D)</f>
        <v>85479169.763855413</v>
      </c>
      <c r="E176" s="39">
        <f t="shared" si="173"/>
        <v>8827514.388289284</v>
      </c>
      <c r="F176" s="5">
        <f t="shared" si="174"/>
        <v>94306684.15214467</v>
      </c>
      <c r="L176" s="1"/>
      <c r="N176" s="55"/>
      <c r="P176" s="5">
        <f t="shared" si="170"/>
        <v>94711113.363073617</v>
      </c>
      <c r="Q176" s="55">
        <v>8827514.3882892821</v>
      </c>
      <c r="R176" s="55">
        <f t="shared" si="171"/>
        <v>85883598.97478433</v>
      </c>
      <c r="S176" s="5"/>
    </row>
    <row r="177" spans="1:33" x14ac:dyDescent="0.2">
      <c r="A177" s="10">
        <f t="shared" si="175"/>
        <v>2022</v>
      </c>
      <c r="B177" s="10"/>
      <c r="C177" s="10"/>
      <c r="D177" s="39"/>
      <c r="E177" s="39"/>
      <c r="L177" s="1"/>
      <c r="N177" s="55"/>
      <c r="P177" s="5">
        <f t="shared" si="170"/>
        <v>97873543.891093612</v>
      </c>
      <c r="Q177" s="55">
        <v>8635789.100729743</v>
      </c>
      <c r="R177" s="55">
        <f t="shared" si="171"/>
        <v>89237754.790363863</v>
      </c>
    </row>
    <row r="178" spans="1:33" x14ac:dyDescent="0.2">
      <c r="A178" s="10">
        <f t="shared" si="175"/>
        <v>2023</v>
      </c>
      <c r="D178" s="39"/>
      <c r="E178" s="39"/>
      <c r="K178" s="41"/>
      <c r="L178" s="41"/>
      <c r="N178" s="52"/>
      <c r="O178" s="41"/>
      <c r="P178" s="5">
        <f t="shared" si="170"/>
        <v>100332629.00089012</v>
      </c>
      <c r="Q178" s="55">
        <v>8453693.5821140613</v>
      </c>
      <c r="R178" s="55">
        <f t="shared" si="171"/>
        <v>91878935.418776065</v>
      </c>
      <c r="S178" s="75"/>
    </row>
    <row r="179" spans="1:33" x14ac:dyDescent="0.2">
      <c r="A179" s="27" t="s">
        <v>94</v>
      </c>
      <c r="B179" s="27"/>
      <c r="C179" s="27"/>
      <c r="D179" s="27"/>
      <c r="E179" s="27"/>
      <c r="O179" s="5"/>
      <c r="P179" s="5"/>
      <c r="Q179" s="5"/>
    </row>
    <row r="181" spans="1:33" x14ac:dyDescent="0.2">
      <c r="O181" s="5"/>
      <c r="P181" s="5"/>
      <c r="Q181" s="25"/>
    </row>
    <row r="182" spans="1:33" x14ac:dyDescent="0.2">
      <c r="S182" s="39"/>
    </row>
    <row r="183" spans="1:33" x14ac:dyDescent="0.2">
      <c r="S183" s="39"/>
    </row>
    <row r="184" spans="1:33" x14ac:dyDescent="0.2">
      <c r="AE184" s="37"/>
      <c r="AF184" s="37"/>
      <c r="AG184" s="37"/>
    </row>
    <row r="195" spans="31:33" x14ac:dyDescent="0.2">
      <c r="AE195" s="37"/>
      <c r="AF195" s="37"/>
      <c r="AG195" s="37"/>
    </row>
  </sheetData>
  <mergeCells count="3">
    <mergeCell ref="T144:T146"/>
    <mergeCell ref="U144:U146"/>
    <mergeCell ref="A1:C1"/>
  </mergeCells>
  <pageMargins left="0.39370078740157483" right="0.74803149606299213" top="0.74803149606299213" bottom="0.74803149606299213" header="0.51181102362204722" footer="0.51181102362204722"/>
  <pageSetup orientation="portrait" r:id="rId1"/>
  <headerFooter alignWithMargins="0"/>
  <rowBreaks count="1" manualBreakCount="1">
    <brk id="110" max="39" man="1"/>
  </rowBreaks>
  <colBreaks count="2" manualBreakCount="2">
    <brk id="18" max="1048575" man="1"/>
    <brk id="28" max="222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3E617-27CB-47D3-B3F6-DD0DA2616962}">
  <sheetPr>
    <tabColor theme="3" tint="0.79998168889431442"/>
  </sheetPr>
  <dimension ref="A1:AW190"/>
  <sheetViews>
    <sheetView zoomScale="80" zoomScaleNormal="80" workbookViewId="0">
      <pane xSplit="1" ySplit="2" topLeftCell="M135" activePane="bottomRight" state="frozen"/>
      <selection activeCell="AB15" sqref="AB15"/>
      <selection pane="topRight" activeCell="AB15" sqref="AB15"/>
      <selection pane="bottomLeft" activeCell="AB15" sqref="AB15"/>
      <selection pane="bottomRight" activeCell="AE64" sqref="AE64"/>
    </sheetView>
  </sheetViews>
  <sheetFormatPr defaultRowHeight="12.75" x14ac:dyDescent="0.2"/>
  <cols>
    <col min="1" max="3" width="11.85546875" customWidth="1"/>
    <col min="4" max="4" width="14.140625" customWidth="1"/>
    <col min="5" max="5" width="13.28515625" customWidth="1"/>
    <col min="6" max="6" width="12.7109375" style="5" bestFit="1" customWidth="1"/>
    <col min="7" max="7" width="12.140625" style="1" customWidth="1"/>
    <col min="8" max="10" width="11.5703125" style="1" customWidth="1"/>
    <col min="11" max="11" width="9.42578125" style="1" bestFit="1" customWidth="1"/>
    <col min="12" max="12" width="10.85546875" style="1" bestFit="1" customWidth="1"/>
    <col min="13" max="13" width="10.85546875" style="1" customWidth="1"/>
    <col min="14" max="14" width="10.7109375" style="1" bestFit="1" customWidth="1"/>
    <col min="15" max="15" width="15.140625" style="1" bestFit="1" customWidth="1"/>
    <col min="16" max="16" width="15.140625" style="1" customWidth="1"/>
    <col min="17" max="17" width="13.28515625" style="1" customWidth="1"/>
    <col min="18" max="18" width="13.7109375" style="1" customWidth="1"/>
    <col min="19" max="19" width="22.42578125" bestFit="1" customWidth="1"/>
    <col min="20" max="20" width="14.85546875" bestFit="1" customWidth="1"/>
    <col min="21" max="21" width="13.7109375" bestFit="1" customWidth="1"/>
    <col min="22" max="22" width="12.5703125" bestFit="1" customWidth="1"/>
    <col min="23" max="23" width="12.42578125" bestFit="1" customWidth="1"/>
    <col min="24" max="24" width="13.5703125" bestFit="1" customWidth="1"/>
    <col min="25" max="27" width="12.5703125" bestFit="1" customWidth="1"/>
    <col min="28" max="28" width="14.140625" bestFit="1" customWidth="1"/>
    <col min="29" max="31" width="12.7109375" customWidth="1"/>
    <col min="32" max="40" width="12.7109375" style="5" customWidth="1"/>
    <col min="41" max="50" width="12.7109375" customWidth="1"/>
  </cols>
  <sheetData>
    <row r="1" spans="1:44" ht="15.75" x14ac:dyDescent="0.25">
      <c r="A1" s="134" t="s">
        <v>130</v>
      </c>
      <c r="B1" s="134"/>
      <c r="C1" s="134"/>
      <c r="D1" s="134"/>
      <c r="E1" s="134"/>
      <c r="F1" s="134"/>
      <c r="G1" s="134"/>
    </row>
    <row r="2" spans="1:44" ht="42" customHeight="1" x14ac:dyDescent="0.2">
      <c r="D2" s="54" t="s">
        <v>3</v>
      </c>
      <c r="E2" s="54" t="s">
        <v>4</v>
      </c>
      <c r="F2" s="54" t="s">
        <v>5</v>
      </c>
      <c r="G2" s="125" t="s">
        <v>18</v>
      </c>
      <c r="H2" s="125" t="s">
        <v>17</v>
      </c>
      <c r="I2" s="7" t="str">
        <f>G2&amp;"Norm"</f>
        <v>HDD10Norm</v>
      </c>
      <c r="J2" s="7" t="str">
        <f>H2&amp;"Norm"</f>
        <v>CDD12Norm</v>
      </c>
      <c r="K2" s="7" t="s">
        <v>74</v>
      </c>
      <c r="L2" s="7" t="s">
        <v>75</v>
      </c>
      <c r="M2" s="7" t="s">
        <v>126</v>
      </c>
      <c r="N2" s="7" t="s">
        <v>11</v>
      </c>
      <c r="O2" s="7" t="s">
        <v>76</v>
      </c>
      <c r="P2" s="7" t="s">
        <v>77</v>
      </c>
      <c r="Q2" s="7" t="s">
        <v>78</v>
      </c>
      <c r="R2" s="7" t="s">
        <v>79</v>
      </c>
      <c r="AF2" s="6"/>
      <c r="AG2" s="6"/>
      <c r="AH2" s="6"/>
    </row>
    <row r="3" spans="1:44" x14ac:dyDescent="0.2">
      <c r="A3" s="2">
        <v>40544</v>
      </c>
      <c r="B3">
        <f>YEAR(A3)</f>
        <v>2011</v>
      </c>
      <c r="C3">
        <f>MONTH(A3)</f>
        <v>1</v>
      </c>
      <c r="D3" s="54">
        <v>16624484.049999999</v>
      </c>
      <c r="E3" s="54">
        <v>92782.771217919406</v>
      </c>
      <c r="F3" s="54">
        <v>16717266.821217919</v>
      </c>
      <c r="G3" s="126">
        <v>527.30000000000007</v>
      </c>
      <c r="H3" s="126">
        <v>0</v>
      </c>
      <c r="I3" s="124">
        <v>439.5</v>
      </c>
      <c r="J3" s="124">
        <v>0</v>
      </c>
      <c r="K3" s="30">
        <v>31</v>
      </c>
      <c r="L3" s="30">
        <v>257</v>
      </c>
      <c r="M3" s="30">
        <v>2928.6</v>
      </c>
      <c r="N3" s="30">
        <v>0</v>
      </c>
      <c r="O3" s="30">
        <f t="shared" ref="O3:O34" si="0">F3+(I3-G3)*$T$11+(J3-H3)*$T$12</f>
        <v>16260849.843245745</v>
      </c>
      <c r="P3" s="30">
        <f>O3-E3</f>
        <v>16168067.072027825</v>
      </c>
      <c r="Q3" s="49">
        <f>+O3-F3</f>
        <v>-456416.97797217406</v>
      </c>
      <c r="R3" s="48">
        <f>ABS(Q3/F3)</f>
        <v>2.7302129161022884E-2</v>
      </c>
      <c r="AD3" s="37"/>
      <c r="AE3" s="37"/>
      <c r="AF3" s="62"/>
      <c r="AG3" s="49"/>
      <c r="AH3" s="70"/>
      <c r="AI3" s="70"/>
      <c r="AJ3" s="103"/>
      <c r="AK3" s="70"/>
      <c r="AL3" s="70"/>
      <c r="AM3" s="98"/>
      <c r="AN3" s="103"/>
      <c r="AO3" s="64"/>
    </row>
    <row r="4" spans="1:44" x14ac:dyDescent="0.2">
      <c r="A4" s="2">
        <v>40575</v>
      </c>
      <c r="B4">
        <f t="shared" ref="B4:B67" si="1">YEAR(A4)</f>
        <v>2011</v>
      </c>
      <c r="C4">
        <f t="shared" ref="C4:C67" si="2">MONTH(A4)</f>
        <v>2</v>
      </c>
      <c r="D4" s="54">
        <v>15658887.129999997</v>
      </c>
      <c r="E4" s="54">
        <v>92782.771217919406</v>
      </c>
      <c r="F4" s="54">
        <v>15751669.901217917</v>
      </c>
      <c r="G4" s="126">
        <v>430.20000000000005</v>
      </c>
      <c r="H4" s="126">
        <v>0</v>
      </c>
      <c r="I4" s="124">
        <v>403.5</v>
      </c>
      <c r="J4" s="124">
        <v>0</v>
      </c>
      <c r="K4" s="30">
        <v>28</v>
      </c>
      <c r="L4" s="30">
        <v>255</v>
      </c>
      <c r="M4" s="30">
        <v>2938.9</v>
      </c>
      <c r="N4" s="30">
        <v>0</v>
      </c>
      <c r="O4" s="30">
        <f t="shared" si="0"/>
        <v>15612873.394249158</v>
      </c>
      <c r="P4" s="30">
        <f t="shared" ref="P4:P67" si="3">O4-E4</f>
        <v>15520090.623031238</v>
      </c>
      <c r="Q4" s="49">
        <f t="shared" ref="Q4:Q34" si="4">+O4-F4</f>
        <v>-138796.506968759</v>
      </c>
      <c r="R4" s="48">
        <f t="shared" ref="R4:R67" si="5">ABS(Q4/F4)</f>
        <v>8.8115423849776889E-3</v>
      </c>
      <c r="S4" s="86"/>
      <c r="T4" s="86"/>
      <c r="U4" s="86"/>
      <c r="V4" s="86"/>
      <c r="W4" s="86"/>
      <c r="X4" s="86"/>
      <c r="AD4" s="37"/>
      <c r="AE4" s="37"/>
      <c r="AF4" s="143"/>
      <c r="AG4" s="143"/>
      <c r="AH4" s="70"/>
      <c r="AI4" s="70"/>
      <c r="AJ4" s="98"/>
      <c r="AK4" s="107"/>
      <c r="AL4" s="70"/>
      <c r="AM4" s="98"/>
      <c r="AN4" s="98"/>
      <c r="AO4" s="64"/>
    </row>
    <row r="5" spans="1:44" x14ac:dyDescent="0.2">
      <c r="A5" s="2">
        <v>40603</v>
      </c>
      <c r="B5">
        <f t="shared" si="1"/>
        <v>2011</v>
      </c>
      <c r="C5">
        <f t="shared" si="2"/>
        <v>3</v>
      </c>
      <c r="D5" s="54">
        <v>16577681.930000002</v>
      </c>
      <c r="E5" s="54">
        <v>92782.771217919406</v>
      </c>
      <c r="F5" s="54">
        <v>16670464.701217921</v>
      </c>
      <c r="G5" s="126">
        <v>324.79999999999995</v>
      </c>
      <c r="H5" s="126">
        <v>0</v>
      </c>
      <c r="I5" s="124">
        <v>291.06</v>
      </c>
      <c r="J5" s="124">
        <v>2.8099999999999996</v>
      </c>
      <c r="K5" s="30">
        <v>31</v>
      </c>
      <c r="L5" s="30">
        <v>256</v>
      </c>
      <c r="M5" s="30">
        <v>2930.7</v>
      </c>
      <c r="N5" s="30">
        <v>0</v>
      </c>
      <c r="O5" s="30">
        <f t="shared" si="0"/>
        <v>16513696.636268759</v>
      </c>
      <c r="P5" s="30">
        <f t="shared" si="3"/>
        <v>16420913.865050839</v>
      </c>
      <c r="Q5" s="49">
        <f t="shared" si="4"/>
        <v>-156768.0649491623</v>
      </c>
      <c r="R5" s="48">
        <f t="shared" si="5"/>
        <v>9.4039409074006819E-3</v>
      </c>
      <c r="S5" t="s">
        <v>91</v>
      </c>
      <c r="AD5" s="49"/>
      <c r="AE5" s="49"/>
      <c r="AF5" s="49"/>
      <c r="AG5" s="49"/>
      <c r="AH5" s="70"/>
      <c r="AI5" s="70"/>
      <c r="AJ5" s="98"/>
      <c r="AK5" s="107"/>
      <c r="AL5" s="70"/>
      <c r="AM5" s="98"/>
      <c r="AN5" s="98"/>
      <c r="AO5" s="63"/>
    </row>
    <row r="6" spans="1:44" x14ac:dyDescent="0.2">
      <c r="A6" s="2">
        <v>40634</v>
      </c>
      <c r="B6">
        <f t="shared" si="1"/>
        <v>2011</v>
      </c>
      <c r="C6">
        <f t="shared" si="2"/>
        <v>4</v>
      </c>
      <c r="D6" s="54">
        <v>14870365.83</v>
      </c>
      <c r="E6" s="54">
        <v>92782.771217919406</v>
      </c>
      <c r="F6" s="54">
        <v>14963148.60121792</v>
      </c>
      <c r="G6" s="126">
        <v>106.70000000000002</v>
      </c>
      <c r="H6" s="126">
        <v>6.4</v>
      </c>
      <c r="I6" s="124">
        <v>120.71999999999998</v>
      </c>
      <c r="J6" s="124">
        <v>6.58</v>
      </c>
      <c r="K6" s="30">
        <v>30</v>
      </c>
      <c r="L6" s="30">
        <v>257</v>
      </c>
      <c r="M6" s="30">
        <v>2922.2</v>
      </c>
      <c r="N6" s="30">
        <v>0</v>
      </c>
      <c r="O6" s="30">
        <f t="shared" si="0"/>
        <v>15037222.822149312</v>
      </c>
      <c r="P6" s="30">
        <f t="shared" si="3"/>
        <v>14944440.050931392</v>
      </c>
      <c r="Q6" s="49">
        <f t="shared" si="4"/>
        <v>74074.220931392163</v>
      </c>
      <c r="R6" s="48">
        <f t="shared" si="5"/>
        <v>4.9504434464657339E-3</v>
      </c>
      <c r="S6" t="s">
        <v>92</v>
      </c>
      <c r="AF6" s="70"/>
      <c r="AG6" s="65"/>
      <c r="AH6" s="37"/>
      <c r="AK6" s="108"/>
      <c r="AL6" s="108"/>
      <c r="AO6" s="5"/>
      <c r="AP6" s="5"/>
      <c r="AR6" s="27"/>
    </row>
    <row r="7" spans="1:44" x14ac:dyDescent="0.2">
      <c r="A7" s="2">
        <v>40664</v>
      </c>
      <c r="B7">
        <f t="shared" si="1"/>
        <v>2011</v>
      </c>
      <c r="C7">
        <f t="shared" si="2"/>
        <v>5</v>
      </c>
      <c r="D7" s="54">
        <v>15387555.400000006</v>
      </c>
      <c r="E7" s="54">
        <v>92782.771217919406</v>
      </c>
      <c r="F7" s="54">
        <v>15480338.171217926</v>
      </c>
      <c r="G7" s="126">
        <v>7.1</v>
      </c>
      <c r="H7" s="126">
        <v>86.7</v>
      </c>
      <c r="I7" s="124">
        <v>16.330000000000002</v>
      </c>
      <c r="J7" s="124">
        <v>107.25</v>
      </c>
      <c r="K7" s="30">
        <v>31</v>
      </c>
      <c r="L7" s="30">
        <v>263</v>
      </c>
      <c r="M7" s="30">
        <v>2920.1</v>
      </c>
      <c r="N7" s="30">
        <v>0</v>
      </c>
      <c r="O7" s="30">
        <f t="shared" si="0"/>
        <v>15664526.687477402</v>
      </c>
      <c r="P7" s="30">
        <f t="shared" si="3"/>
        <v>15571743.916259483</v>
      </c>
      <c r="Q7" s="49">
        <f t="shared" si="4"/>
        <v>184188.51625947654</v>
      </c>
      <c r="R7" s="48">
        <f t="shared" si="5"/>
        <v>1.1898223037655087E-2</v>
      </c>
      <c r="S7" t="s">
        <v>93</v>
      </c>
      <c r="AF7" s="70"/>
      <c r="AG7" s="65"/>
      <c r="AH7" s="37"/>
      <c r="AK7" s="108"/>
      <c r="AL7" s="108"/>
      <c r="AO7" s="5"/>
      <c r="AP7" s="5"/>
      <c r="AR7" s="27"/>
    </row>
    <row r="8" spans="1:44" x14ac:dyDescent="0.2">
      <c r="A8" s="2">
        <v>40695</v>
      </c>
      <c r="B8">
        <f t="shared" si="1"/>
        <v>2011</v>
      </c>
      <c r="C8">
        <f t="shared" si="2"/>
        <v>6</v>
      </c>
      <c r="D8" s="54">
        <v>16284746.789999999</v>
      </c>
      <c r="E8" s="54">
        <v>92782.771217919406</v>
      </c>
      <c r="F8" s="54">
        <v>16377529.561217919</v>
      </c>
      <c r="G8" s="126">
        <v>0</v>
      </c>
      <c r="H8" s="126">
        <v>213.20000000000002</v>
      </c>
      <c r="I8" s="124">
        <v>0</v>
      </c>
      <c r="J8" s="124">
        <v>230.10000000000005</v>
      </c>
      <c r="K8" s="30">
        <v>30</v>
      </c>
      <c r="L8" s="30">
        <v>263</v>
      </c>
      <c r="M8" s="30">
        <v>2927.5</v>
      </c>
      <c r="N8" s="30">
        <v>0</v>
      </c>
      <c r="O8" s="30">
        <f t="shared" si="0"/>
        <v>16489544.530570513</v>
      </c>
      <c r="P8" s="30">
        <f t="shared" si="3"/>
        <v>16396761.759352593</v>
      </c>
      <c r="Q8" s="49">
        <f t="shared" si="4"/>
        <v>112014.96935259365</v>
      </c>
      <c r="R8" s="48">
        <f t="shared" si="5"/>
        <v>6.8395522617675942E-3</v>
      </c>
      <c r="AF8" s="70"/>
      <c r="AG8" s="65"/>
      <c r="AH8" s="37"/>
      <c r="AK8" s="108"/>
      <c r="AL8" s="108"/>
      <c r="AO8" s="5"/>
      <c r="AP8" s="5"/>
      <c r="AR8" s="27"/>
    </row>
    <row r="9" spans="1:44" x14ac:dyDescent="0.2">
      <c r="A9" s="2">
        <v>40725</v>
      </c>
      <c r="B9">
        <f t="shared" si="1"/>
        <v>2011</v>
      </c>
      <c r="C9">
        <f t="shared" si="2"/>
        <v>7</v>
      </c>
      <c r="D9" s="54">
        <v>16946151.27</v>
      </c>
      <c r="E9" s="54">
        <v>92782.771217919406</v>
      </c>
      <c r="F9" s="54">
        <v>17038934.041217919</v>
      </c>
      <c r="G9" s="126">
        <v>0</v>
      </c>
      <c r="H9" s="126">
        <v>384.2999999999999</v>
      </c>
      <c r="I9" s="124">
        <v>0</v>
      </c>
      <c r="J9" s="124">
        <v>331.41</v>
      </c>
      <c r="K9" s="30">
        <v>31</v>
      </c>
      <c r="L9" s="30">
        <v>265</v>
      </c>
      <c r="M9" s="30">
        <v>2923.6</v>
      </c>
      <c r="N9" s="30">
        <v>0</v>
      </c>
      <c r="O9" s="30">
        <f t="shared" si="0"/>
        <v>16688373.583877172</v>
      </c>
      <c r="P9" s="30">
        <f t="shared" si="3"/>
        <v>16595590.812659252</v>
      </c>
      <c r="Q9" s="49">
        <f t="shared" si="4"/>
        <v>-350560.45734074712</v>
      </c>
      <c r="R9" s="48">
        <f t="shared" si="5"/>
        <v>2.0574083830169551E-2</v>
      </c>
      <c r="S9" s="86"/>
      <c r="T9" s="86" t="s">
        <v>19</v>
      </c>
      <c r="U9" s="86" t="s">
        <v>20</v>
      </c>
      <c r="V9" t="s">
        <v>21</v>
      </c>
      <c r="W9" t="s">
        <v>22</v>
      </c>
      <c r="X9" s="86"/>
      <c r="AF9" s="70"/>
      <c r="AG9" s="65"/>
      <c r="AH9" s="37"/>
      <c r="AK9" s="108"/>
      <c r="AL9" s="108"/>
      <c r="AO9" s="5"/>
      <c r="AP9" s="5"/>
      <c r="AR9" s="27"/>
    </row>
    <row r="10" spans="1:44" x14ac:dyDescent="0.2">
      <c r="A10" s="2">
        <v>40756</v>
      </c>
      <c r="B10">
        <f t="shared" si="1"/>
        <v>2011</v>
      </c>
      <c r="C10">
        <f t="shared" si="2"/>
        <v>8</v>
      </c>
      <c r="D10" s="54">
        <v>16700144.319999998</v>
      </c>
      <c r="E10" s="54">
        <v>92782.771217919406</v>
      </c>
      <c r="F10" s="54">
        <v>16792927.091217916</v>
      </c>
      <c r="G10" s="126">
        <v>0</v>
      </c>
      <c r="H10" s="126">
        <v>308.2</v>
      </c>
      <c r="I10" s="124">
        <v>0</v>
      </c>
      <c r="J10" s="124">
        <v>304.46000000000004</v>
      </c>
      <c r="K10" s="30">
        <v>31</v>
      </c>
      <c r="L10" s="30">
        <v>267</v>
      </c>
      <c r="M10" s="30">
        <v>2920.2</v>
      </c>
      <c r="N10" s="30">
        <v>0</v>
      </c>
      <c r="O10" s="30">
        <f t="shared" si="0"/>
        <v>16768137.979657046</v>
      </c>
      <c r="P10" s="30">
        <f t="shared" si="3"/>
        <v>16675355.208439127</v>
      </c>
      <c r="Q10" s="49">
        <f t="shared" si="4"/>
        <v>-24789.111560869962</v>
      </c>
      <c r="R10" s="48">
        <f t="shared" si="5"/>
        <v>1.4761638293441859E-3</v>
      </c>
      <c r="S10" t="s">
        <v>23</v>
      </c>
      <c r="T10">
        <v>-14427970.062420901</v>
      </c>
      <c r="U10">
        <v>2078230.73323364</v>
      </c>
      <c r="V10">
        <v>-6.9424293615230601</v>
      </c>
      <c r="W10" s="79">
        <v>1.8619369107404799E-10</v>
      </c>
      <c r="AF10" s="70"/>
      <c r="AG10" s="65"/>
      <c r="AH10" s="37"/>
      <c r="AK10" s="108"/>
      <c r="AL10" s="108"/>
      <c r="AO10" s="5"/>
      <c r="AP10" s="5"/>
      <c r="AR10" s="27"/>
    </row>
    <row r="11" spans="1:44" x14ac:dyDescent="0.2">
      <c r="A11" s="2">
        <v>40787</v>
      </c>
      <c r="B11">
        <f t="shared" si="1"/>
        <v>2011</v>
      </c>
      <c r="C11">
        <f t="shared" si="2"/>
        <v>9</v>
      </c>
      <c r="D11" s="54">
        <v>15666778.779999997</v>
      </c>
      <c r="E11" s="54">
        <v>92782.771217919406</v>
      </c>
      <c r="F11" s="54">
        <v>15759561.551217917</v>
      </c>
      <c r="G11" s="126">
        <v>0</v>
      </c>
      <c r="H11" s="126">
        <v>172.60000000000002</v>
      </c>
      <c r="I11" s="124">
        <v>0.24999999999999983</v>
      </c>
      <c r="J11" s="124">
        <v>176.51</v>
      </c>
      <c r="K11" s="30">
        <v>30</v>
      </c>
      <c r="L11" s="30">
        <v>268</v>
      </c>
      <c r="M11" s="30">
        <v>2915.3</v>
      </c>
      <c r="N11" s="30">
        <v>0</v>
      </c>
      <c r="O11" s="30">
        <f t="shared" si="0"/>
        <v>15786777.033338888</v>
      </c>
      <c r="P11" s="30">
        <f t="shared" si="3"/>
        <v>15693994.262120968</v>
      </c>
      <c r="Q11" s="49">
        <f t="shared" si="4"/>
        <v>27215.482120970264</v>
      </c>
      <c r="R11" s="48">
        <f t="shared" si="5"/>
        <v>1.7269187364458765E-3</v>
      </c>
      <c r="S11" t="s">
        <v>18</v>
      </c>
      <c r="T11">
        <v>5198.3710475190701</v>
      </c>
      <c r="U11">
        <v>434.14298705333601</v>
      </c>
      <c r="V11">
        <v>11.9738685238291</v>
      </c>
      <c r="W11" s="79">
        <v>1.76386451048639E-22</v>
      </c>
      <c r="AF11" s="70"/>
      <c r="AG11" s="65"/>
      <c r="AH11" s="37"/>
      <c r="AK11" s="108"/>
      <c r="AL11" s="108"/>
      <c r="AO11" s="5"/>
      <c r="AP11" s="5"/>
      <c r="AR11" s="27"/>
    </row>
    <row r="12" spans="1:44" x14ac:dyDescent="0.2">
      <c r="A12" s="2">
        <v>40817</v>
      </c>
      <c r="B12">
        <f t="shared" si="1"/>
        <v>2011</v>
      </c>
      <c r="C12">
        <f t="shared" si="2"/>
        <v>10</v>
      </c>
      <c r="D12" s="54">
        <v>15493508.160000006</v>
      </c>
      <c r="E12" s="54">
        <v>92782.771217919406</v>
      </c>
      <c r="F12" s="54">
        <v>15586290.931217926</v>
      </c>
      <c r="G12" s="126">
        <v>49.800000000000004</v>
      </c>
      <c r="H12" s="126">
        <v>41.5</v>
      </c>
      <c r="I12" s="124">
        <v>44.309999999999995</v>
      </c>
      <c r="J12" s="124">
        <v>43.36</v>
      </c>
      <c r="K12" s="30">
        <v>31</v>
      </c>
      <c r="L12" s="30">
        <v>270</v>
      </c>
      <c r="M12" s="30">
        <v>2906.1</v>
      </c>
      <c r="N12" s="30">
        <v>0</v>
      </c>
      <c r="O12" s="30">
        <f t="shared" si="0"/>
        <v>15570080.148900526</v>
      </c>
      <c r="P12" s="30">
        <f t="shared" si="3"/>
        <v>15477297.377682606</v>
      </c>
      <c r="Q12" s="49">
        <f t="shared" si="4"/>
        <v>-16210.782317399979</v>
      </c>
      <c r="R12" s="48">
        <f t="shared" si="5"/>
        <v>1.0400667091957877E-3</v>
      </c>
      <c r="S12" t="s">
        <v>17</v>
      </c>
      <c r="T12">
        <v>6628.1046954197</v>
      </c>
      <c r="U12">
        <v>599.29134898888196</v>
      </c>
      <c r="V12">
        <v>11.059903845771499</v>
      </c>
      <c r="W12" s="79">
        <v>3.0205064667750797E-20</v>
      </c>
      <c r="AF12" s="70"/>
      <c r="AG12" s="65"/>
      <c r="AH12" s="37"/>
      <c r="AK12" s="108"/>
      <c r="AL12" s="108"/>
      <c r="AO12" s="5"/>
      <c r="AP12" s="5"/>
      <c r="AR12" s="27"/>
    </row>
    <row r="13" spans="1:44" x14ac:dyDescent="0.2">
      <c r="A13" s="2">
        <v>40848</v>
      </c>
      <c r="B13">
        <f t="shared" si="1"/>
        <v>2011</v>
      </c>
      <c r="C13">
        <f t="shared" si="2"/>
        <v>11</v>
      </c>
      <c r="D13" s="54">
        <v>15848617.690000003</v>
      </c>
      <c r="E13" s="54">
        <v>92782.771217919406</v>
      </c>
      <c r="F13" s="54">
        <v>15941400.461217923</v>
      </c>
      <c r="G13" s="126">
        <v>115.8</v>
      </c>
      <c r="H13" s="126">
        <v>3.4000000000000004</v>
      </c>
      <c r="I13" s="124">
        <v>193.95999999999998</v>
      </c>
      <c r="J13" s="124">
        <v>2.7399999999999998</v>
      </c>
      <c r="K13" s="30">
        <v>30</v>
      </c>
      <c r="L13" s="30">
        <v>271</v>
      </c>
      <c r="M13" s="30">
        <v>2901.5</v>
      </c>
      <c r="N13" s="30">
        <v>0</v>
      </c>
      <c r="O13" s="30">
        <f t="shared" si="0"/>
        <v>16343330.593193036</v>
      </c>
      <c r="P13" s="30">
        <f t="shared" si="3"/>
        <v>16250547.821975116</v>
      </c>
      <c r="Q13" s="49">
        <f t="shared" si="4"/>
        <v>401930.13197511248</v>
      </c>
      <c r="R13" s="48">
        <f t="shared" si="5"/>
        <v>2.521297504274634E-2</v>
      </c>
      <c r="S13" t="s">
        <v>8</v>
      </c>
      <c r="T13">
        <v>353725.04918807402</v>
      </c>
      <c r="U13">
        <v>50247.526029926601</v>
      </c>
      <c r="V13">
        <v>7.0396510462505297</v>
      </c>
      <c r="W13" s="79">
        <v>1.13145767634352E-10</v>
      </c>
      <c r="AF13" s="70"/>
      <c r="AG13" s="65"/>
      <c r="AH13" s="37"/>
      <c r="AK13" s="108"/>
      <c r="AL13" s="108"/>
      <c r="AO13" s="5"/>
      <c r="AP13" s="5"/>
      <c r="AR13" s="27"/>
    </row>
    <row r="14" spans="1:44" x14ac:dyDescent="0.2">
      <c r="A14" s="2">
        <v>40878</v>
      </c>
      <c r="B14">
        <f t="shared" si="1"/>
        <v>2011</v>
      </c>
      <c r="C14">
        <f t="shared" si="2"/>
        <v>12</v>
      </c>
      <c r="D14" s="54">
        <v>16723848.409999998</v>
      </c>
      <c r="E14" s="54">
        <v>92782.771217919406</v>
      </c>
      <c r="F14" s="54">
        <v>16816631.181217916</v>
      </c>
      <c r="G14" s="126">
        <v>286</v>
      </c>
      <c r="H14" s="126">
        <v>0</v>
      </c>
      <c r="I14" s="124">
        <v>327.48000000000008</v>
      </c>
      <c r="J14" s="124">
        <v>0</v>
      </c>
      <c r="K14" s="30">
        <v>31</v>
      </c>
      <c r="L14" s="30">
        <v>271</v>
      </c>
      <c r="M14" s="30">
        <v>2893.8</v>
      </c>
      <c r="N14" s="30">
        <v>0</v>
      </c>
      <c r="O14" s="30">
        <f t="shared" si="0"/>
        <v>17032259.612269007</v>
      </c>
      <c r="P14" s="30">
        <f t="shared" si="3"/>
        <v>16939476.841051087</v>
      </c>
      <c r="Q14" s="49">
        <f t="shared" si="4"/>
        <v>215628.43105109036</v>
      </c>
      <c r="R14" s="48">
        <f t="shared" si="5"/>
        <v>1.2822332173873236E-2</v>
      </c>
      <c r="S14" t="s">
        <v>7</v>
      </c>
      <c r="T14">
        <v>23627.618854366599</v>
      </c>
      <c r="U14">
        <v>4034.7275532337499</v>
      </c>
      <c r="V14">
        <v>5.8560630284514597</v>
      </c>
      <c r="W14" s="79">
        <v>3.9257575445651397E-8</v>
      </c>
      <c r="AF14" s="70"/>
      <c r="AG14" s="65"/>
      <c r="AH14" s="37"/>
      <c r="AK14" s="108"/>
      <c r="AL14" s="108"/>
      <c r="AO14" s="5"/>
      <c r="AP14" s="5"/>
      <c r="AR14" s="27"/>
    </row>
    <row r="15" spans="1:44" x14ac:dyDescent="0.2">
      <c r="A15" s="2">
        <v>40909</v>
      </c>
      <c r="B15">
        <f t="shared" si="1"/>
        <v>2012</v>
      </c>
      <c r="C15">
        <f t="shared" si="2"/>
        <v>1</v>
      </c>
      <c r="D15" s="54">
        <v>16556508.93</v>
      </c>
      <c r="E15" s="54">
        <v>228757.53349089678</v>
      </c>
      <c r="F15" s="54">
        <v>16785266.463490896</v>
      </c>
      <c r="G15" s="126">
        <v>363.10000000000008</v>
      </c>
      <c r="H15" s="126">
        <v>0</v>
      </c>
      <c r="I15" s="124">
        <f>I3</f>
        <v>439.5</v>
      </c>
      <c r="J15" s="124">
        <f>J3</f>
        <v>0</v>
      </c>
      <c r="K15" s="30">
        <v>31</v>
      </c>
      <c r="L15" s="30">
        <v>271</v>
      </c>
      <c r="M15" s="30">
        <v>2892.7</v>
      </c>
      <c r="N15" s="30">
        <v>0</v>
      </c>
      <c r="O15" s="30">
        <f t="shared" si="0"/>
        <v>17182422.011521354</v>
      </c>
      <c r="P15" s="30">
        <f t="shared" si="3"/>
        <v>16953664.478030458</v>
      </c>
      <c r="Q15" s="49">
        <f t="shared" si="4"/>
        <v>397155.54803045839</v>
      </c>
      <c r="R15" s="48">
        <f t="shared" si="5"/>
        <v>2.3660961766338289E-2</v>
      </c>
      <c r="S15" t="s">
        <v>14</v>
      </c>
      <c r="T15">
        <v>4218.14905411371</v>
      </c>
      <c r="U15">
        <v>693.51412660321</v>
      </c>
      <c r="V15">
        <v>6.0822828148778303</v>
      </c>
      <c r="W15" s="79">
        <v>1.33531235942946E-8</v>
      </c>
      <c r="AF15" s="70"/>
      <c r="AG15" s="65"/>
      <c r="AH15" s="37"/>
      <c r="AK15" s="108"/>
      <c r="AL15" s="108"/>
      <c r="AO15" s="5"/>
      <c r="AP15" s="5"/>
      <c r="AQ15" s="109"/>
      <c r="AR15" s="27"/>
    </row>
    <row r="16" spans="1:44" ht="12.75" customHeight="1" x14ac:dyDescent="0.2">
      <c r="A16" s="2">
        <v>40940</v>
      </c>
      <c r="B16">
        <f t="shared" si="1"/>
        <v>2012</v>
      </c>
      <c r="C16">
        <f t="shared" si="2"/>
        <v>2</v>
      </c>
      <c r="D16" s="54">
        <v>15850543.67</v>
      </c>
      <c r="E16" s="54">
        <v>228757.53349089678</v>
      </c>
      <c r="F16" s="54">
        <v>16079301.203490896</v>
      </c>
      <c r="G16" s="126">
        <v>299.70000000000005</v>
      </c>
      <c r="H16" s="126">
        <v>0</v>
      </c>
      <c r="I16" s="124">
        <f t="shared" ref="I16:J16" si="6">I4</f>
        <v>403.5</v>
      </c>
      <c r="J16" s="124">
        <f t="shared" si="6"/>
        <v>0</v>
      </c>
      <c r="K16" s="30">
        <v>29</v>
      </c>
      <c r="L16" s="30">
        <v>272</v>
      </c>
      <c r="M16" s="30">
        <v>2889.3</v>
      </c>
      <c r="N16" s="30">
        <v>0</v>
      </c>
      <c r="O16" s="30">
        <f t="shared" si="0"/>
        <v>16618892.118223375</v>
      </c>
      <c r="P16" s="30">
        <f t="shared" si="3"/>
        <v>16390134.584732478</v>
      </c>
      <c r="Q16" s="49">
        <f t="shared" si="4"/>
        <v>539590.91473247856</v>
      </c>
      <c r="R16" s="48">
        <f t="shared" si="5"/>
        <v>3.3558107277406476E-2</v>
      </c>
      <c r="S16" t="s">
        <v>12</v>
      </c>
      <c r="T16">
        <v>-1350053.7855573399</v>
      </c>
      <c r="U16">
        <v>376733.55192871002</v>
      </c>
      <c r="V16">
        <v>-3.5835772488159301</v>
      </c>
      <c r="W16">
        <v>4.8410458991495701E-4</v>
      </c>
      <c r="AF16" s="70"/>
      <c r="AG16" s="65"/>
      <c r="AH16" s="37"/>
      <c r="AK16" s="110"/>
      <c r="AL16" s="108"/>
      <c r="AO16" s="5"/>
      <c r="AP16" s="5"/>
      <c r="AR16" s="27"/>
    </row>
    <row r="17" spans="1:45" ht="12.75" customHeight="1" x14ac:dyDescent="0.2">
      <c r="A17" s="2">
        <v>40969</v>
      </c>
      <c r="B17">
        <f t="shared" si="1"/>
        <v>2012</v>
      </c>
      <c r="C17">
        <f t="shared" si="2"/>
        <v>3</v>
      </c>
      <c r="D17" s="54">
        <v>16308714.269999996</v>
      </c>
      <c r="E17" s="54">
        <v>228757.53349089678</v>
      </c>
      <c r="F17" s="54">
        <v>16537471.803490892</v>
      </c>
      <c r="G17" s="126">
        <v>145</v>
      </c>
      <c r="H17" s="126">
        <v>23.799999999999997</v>
      </c>
      <c r="I17" s="124">
        <f t="shared" ref="I17:J17" si="7">I5</f>
        <v>291.06</v>
      </c>
      <c r="J17" s="124">
        <f t="shared" si="7"/>
        <v>2.8099999999999996</v>
      </c>
      <c r="K17" s="30">
        <v>31</v>
      </c>
      <c r="L17" s="30">
        <v>272</v>
      </c>
      <c r="M17" s="30">
        <v>2893.8</v>
      </c>
      <c r="N17" s="30">
        <v>0</v>
      </c>
      <c r="O17" s="30">
        <f t="shared" si="0"/>
        <v>17157621.961134668</v>
      </c>
      <c r="P17" s="30">
        <f t="shared" si="3"/>
        <v>16928864.427643772</v>
      </c>
      <c r="Q17" s="49">
        <f t="shared" si="4"/>
        <v>620150.15764377639</v>
      </c>
      <c r="R17" s="48">
        <f t="shared" si="5"/>
        <v>3.7499695540697396E-2</v>
      </c>
      <c r="W17" s="2"/>
      <c r="AF17" s="70"/>
      <c r="AG17" s="65"/>
      <c r="AH17" s="37"/>
      <c r="AK17" s="108"/>
      <c r="AL17" s="108"/>
      <c r="AN17" s="27"/>
      <c r="AO17" s="5"/>
      <c r="AP17" s="5"/>
      <c r="AR17" s="27"/>
    </row>
    <row r="18" spans="1:45" ht="12.75" customHeight="1" x14ac:dyDescent="0.2">
      <c r="A18" s="2">
        <v>41000</v>
      </c>
      <c r="B18">
        <f t="shared" si="1"/>
        <v>2012</v>
      </c>
      <c r="C18">
        <f t="shared" si="2"/>
        <v>4</v>
      </c>
      <c r="D18" s="54">
        <v>14651507.389999997</v>
      </c>
      <c r="E18" s="54">
        <v>228757.53349089678</v>
      </c>
      <c r="F18" s="54">
        <v>14880264.923490893</v>
      </c>
      <c r="G18" s="126">
        <v>100.89999999999999</v>
      </c>
      <c r="H18" s="126">
        <v>11.199999999999998</v>
      </c>
      <c r="I18" s="124">
        <f t="shared" ref="I18:J18" si="8">I6</f>
        <v>120.71999999999998</v>
      </c>
      <c r="J18" s="124">
        <f t="shared" si="8"/>
        <v>6.58</v>
      </c>
      <c r="K18" s="30">
        <v>30</v>
      </c>
      <c r="L18" s="30">
        <v>272</v>
      </c>
      <c r="M18" s="30">
        <v>2898.4</v>
      </c>
      <c r="N18" s="30">
        <v>0</v>
      </c>
      <c r="O18" s="30">
        <f t="shared" si="0"/>
        <v>14952674.793959882</v>
      </c>
      <c r="P18" s="30">
        <f t="shared" si="3"/>
        <v>14723917.260468986</v>
      </c>
      <c r="Q18" s="49">
        <f t="shared" si="4"/>
        <v>72409.870468989015</v>
      </c>
      <c r="R18" s="48">
        <f t="shared" si="5"/>
        <v>4.8661680985718457E-3</v>
      </c>
      <c r="S18" t="s">
        <v>24</v>
      </c>
      <c r="W18" s="2"/>
      <c r="Y18" s="86"/>
      <c r="Z18" s="86"/>
      <c r="AA18" s="86"/>
      <c r="AD18" s="49"/>
      <c r="AE18" s="49"/>
      <c r="AF18" s="65"/>
      <c r="AG18" s="49"/>
      <c r="AH18" s="73"/>
      <c r="AI18" s="73"/>
      <c r="AK18" s="57"/>
      <c r="AL18" s="67"/>
      <c r="AM18" s="67"/>
      <c r="AN18"/>
      <c r="AO18" s="5"/>
      <c r="AP18" s="5"/>
      <c r="AR18" s="27"/>
    </row>
    <row r="19" spans="1:45" ht="12.75" customHeight="1" x14ac:dyDescent="0.2">
      <c r="A19" s="2">
        <v>41030</v>
      </c>
      <c r="B19">
        <f t="shared" si="1"/>
        <v>2012</v>
      </c>
      <c r="C19">
        <f t="shared" si="2"/>
        <v>5</v>
      </c>
      <c r="D19" s="54">
        <v>16853445.379999999</v>
      </c>
      <c r="E19" s="54">
        <v>228757.53349089678</v>
      </c>
      <c r="F19" s="54">
        <v>17082202.913490895</v>
      </c>
      <c r="G19" s="126">
        <v>0</v>
      </c>
      <c r="H19" s="126">
        <v>149.10000000000002</v>
      </c>
      <c r="I19" s="124">
        <f t="shared" ref="I19:J19" si="9">I7</f>
        <v>16.330000000000002</v>
      </c>
      <c r="J19" s="124">
        <f t="shared" si="9"/>
        <v>107.25</v>
      </c>
      <c r="K19" s="30">
        <v>31</v>
      </c>
      <c r="L19" s="30">
        <v>273</v>
      </c>
      <c r="M19" s="30">
        <v>2901.7</v>
      </c>
      <c r="N19" s="30">
        <v>0</v>
      </c>
      <c r="O19" s="30">
        <f t="shared" si="0"/>
        <v>16889706.131193567</v>
      </c>
      <c r="P19" s="30">
        <f t="shared" si="3"/>
        <v>16660948.597702671</v>
      </c>
      <c r="Q19" s="49">
        <f t="shared" si="4"/>
        <v>-192496.78229732811</v>
      </c>
      <c r="R19" s="48">
        <f t="shared" si="5"/>
        <v>1.1268849999744543E-2</v>
      </c>
      <c r="S19" t="s">
        <v>25</v>
      </c>
      <c r="T19">
        <v>18186427.466997601</v>
      </c>
      <c r="U19" t="s">
        <v>26</v>
      </c>
      <c r="V19">
        <v>1565701.4226951101</v>
      </c>
      <c r="W19" s="2"/>
      <c r="AF19" s="6"/>
      <c r="AG19" s="6"/>
      <c r="AH19" s="144"/>
      <c r="AI19" s="144"/>
    </row>
    <row r="20" spans="1:45" ht="12.75" customHeight="1" x14ac:dyDescent="0.2">
      <c r="A20" s="2">
        <v>41061</v>
      </c>
      <c r="B20">
        <f t="shared" si="1"/>
        <v>2012</v>
      </c>
      <c r="C20">
        <f t="shared" si="2"/>
        <v>6</v>
      </c>
      <c r="D20" s="54">
        <v>16649642.679999992</v>
      </c>
      <c r="E20" s="54">
        <v>228757.53349089678</v>
      </c>
      <c r="F20" s="54">
        <v>16878400.213490888</v>
      </c>
      <c r="G20" s="126">
        <v>0</v>
      </c>
      <c r="H20" s="126">
        <v>258.40000000000003</v>
      </c>
      <c r="I20" s="124">
        <f t="shared" ref="I20:J20" si="10">I8</f>
        <v>0</v>
      </c>
      <c r="J20" s="124">
        <f t="shared" si="10"/>
        <v>230.10000000000005</v>
      </c>
      <c r="K20" s="30">
        <v>30</v>
      </c>
      <c r="L20" s="30">
        <v>271</v>
      </c>
      <c r="M20" s="30">
        <v>2910.2</v>
      </c>
      <c r="N20" s="30">
        <v>0</v>
      </c>
      <c r="O20" s="30">
        <f t="shared" si="0"/>
        <v>16690824.850610511</v>
      </c>
      <c r="P20" s="30">
        <f t="shared" si="3"/>
        <v>16462067.317119615</v>
      </c>
      <c r="Q20" s="49">
        <f t="shared" si="4"/>
        <v>-187575.3628803771</v>
      </c>
      <c r="R20" s="48">
        <f t="shared" si="5"/>
        <v>1.1113337787218026E-2</v>
      </c>
      <c r="S20" t="s">
        <v>27</v>
      </c>
      <c r="T20">
        <v>36486058102412</v>
      </c>
      <c r="U20" t="s">
        <v>28</v>
      </c>
      <c r="V20">
        <v>540267.03103122604</v>
      </c>
      <c r="W20" s="2"/>
      <c r="AF20" s="6"/>
      <c r="AG20" s="6"/>
      <c r="AH20" s="6"/>
    </row>
    <row r="21" spans="1:45" ht="12.75" customHeight="1" x14ac:dyDescent="0.2">
      <c r="A21" s="2">
        <v>41091</v>
      </c>
      <c r="B21">
        <f t="shared" si="1"/>
        <v>2012</v>
      </c>
      <c r="C21">
        <f t="shared" si="2"/>
        <v>7</v>
      </c>
      <c r="D21" s="54">
        <v>16931323.719999995</v>
      </c>
      <c r="E21" s="54">
        <v>228757.53349089678</v>
      </c>
      <c r="F21" s="54">
        <v>17160081.253490891</v>
      </c>
      <c r="G21" s="126">
        <v>0</v>
      </c>
      <c r="H21" s="126">
        <v>381.40000000000003</v>
      </c>
      <c r="I21" s="124">
        <f t="shared" ref="I21:J21" si="11">I9</f>
        <v>0</v>
      </c>
      <c r="J21" s="124">
        <f t="shared" si="11"/>
        <v>331.41</v>
      </c>
      <c r="K21" s="30">
        <v>31</v>
      </c>
      <c r="L21" s="30">
        <v>271</v>
      </c>
      <c r="M21" s="30">
        <v>2925.1</v>
      </c>
      <c r="N21" s="30">
        <v>0</v>
      </c>
      <c r="O21" s="30">
        <f t="shared" si="0"/>
        <v>16828742.299766861</v>
      </c>
      <c r="P21" s="30">
        <f t="shared" si="3"/>
        <v>16599984.766275965</v>
      </c>
      <c r="Q21" s="49">
        <f t="shared" si="4"/>
        <v>-331338.95372403041</v>
      </c>
      <c r="R21" s="48">
        <f t="shared" si="5"/>
        <v>1.9308705409342149E-2</v>
      </c>
      <c r="S21" t="s">
        <v>29</v>
      </c>
      <c r="T21">
        <v>0.88641900885854397</v>
      </c>
      <c r="U21" t="s">
        <v>30</v>
      </c>
      <c r="V21">
        <v>0.88096712128375398</v>
      </c>
      <c r="W21" s="2"/>
      <c r="AF21" s="6"/>
      <c r="AG21" s="6"/>
      <c r="AH21" s="6"/>
    </row>
    <row r="22" spans="1:45" ht="12.75" customHeight="1" x14ac:dyDescent="0.2">
      <c r="A22" s="2">
        <v>41122</v>
      </c>
      <c r="B22">
        <f t="shared" si="1"/>
        <v>2012</v>
      </c>
      <c r="C22">
        <f t="shared" si="2"/>
        <v>8</v>
      </c>
      <c r="D22" s="54">
        <v>16567283.779999997</v>
      </c>
      <c r="E22" s="54">
        <v>228757.53349089678</v>
      </c>
      <c r="F22" s="54">
        <v>16796041.313490894</v>
      </c>
      <c r="G22" s="126">
        <v>0</v>
      </c>
      <c r="H22" s="126">
        <v>296.10000000000002</v>
      </c>
      <c r="I22" s="124">
        <f t="shared" ref="I22:J22" si="12">I10</f>
        <v>0</v>
      </c>
      <c r="J22" s="124">
        <f t="shared" si="12"/>
        <v>304.46000000000004</v>
      </c>
      <c r="K22" s="30">
        <v>31</v>
      </c>
      <c r="L22" s="30">
        <v>270</v>
      </c>
      <c r="M22" s="30">
        <v>2942.6</v>
      </c>
      <c r="N22" s="30">
        <v>0</v>
      </c>
      <c r="O22" s="30">
        <f t="shared" si="0"/>
        <v>16851452.268744603</v>
      </c>
      <c r="P22" s="30">
        <f t="shared" si="3"/>
        <v>16622694.735253707</v>
      </c>
      <c r="Q22" s="49">
        <f t="shared" si="4"/>
        <v>55410.955253709108</v>
      </c>
      <c r="R22" s="48">
        <f t="shared" si="5"/>
        <v>3.2990485209870254E-3</v>
      </c>
      <c r="S22" t="s">
        <v>89</v>
      </c>
      <c r="T22">
        <v>101.957869584908</v>
      </c>
      <c r="U22" t="s">
        <v>31</v>
      </c>
      <c r="V22" s="79">
        <v>1.00478826861715E-45</v>
      </c>
      <c r="W22" s="2"/>
      <c r="AF22" s="6"/>
      <c r="AG22" s="6"/>
      <c r="AH22" s="6"/>
    </row>
    <row r="23" spans="1:45" ht="12.75" customHeight="1" x14ac:dyDescent="0.2">
      <c r="A23" s="2">
        <v>41153</v>
      </c>
      <c r="B23">
        <f t="shared" si="1"/>
        <v>2012</v>
      </c>
      <c r="C23">
        <f t="shared" si="2"/>
        <v>9</v>
      </c>
      <c r="D23" s="54">
        <v>15411421.599999998</v>
      </c>
      <c r="E23" s="54">
        <v>228757.53349089678</v>
      </c>
      <c r="F23" s="54">
        <v>15640179.133490894</v>
      </c>
      <c r="G23" s="126">
        <v>0.5</v>
      </c>
      <c r="H23" s="126">
        <v>136.99999999999997</v>
      </c>
      <c r="I23" s="124">
        <f t="shared" ref="I23:J23" si="13">I11</f>
        <v>0.24999999999999983</v>
      </c>
      <c r="J23" s="124">
        <f t="shared" si="13"/>
        <v>176.51</v>
      </c>
      <c r="K23" s="30">
        <v>30</v>
      </c>
      <c r="L23" s="30">
        <v>271</v>
      </c>
      <c r="M23" s="30">
        <v>2963.5</v>
      </c>
      <c r="N23" s="30">
        <v>0</v>
      </c>
      <c r="O23" s="30">
        <f t="shared" si="0"/>
        <v>15900755.957245046</v>
      </c>
      <c r="P23" s="30">
        <f t="shared" si="3"/>
        <v>15671998.42375415</v>
      </c>
      <c r="Q23" s="49">
        <f t="shared" si="4"/>
        <v>260576.82375415228</v>
      </c>
      <c r="R23" s="48">
        <f t="shared" si="5"/>
        <v>1.6660731410433113E-2</v>
      </c>
      <c r="S23" t="s">
        <v>32</v>
      </c>
      <c r="T23">
        <v>-4.2801898643213598E-2</v>
      </c>
      <c r="U23" t="s">
        <v>33</v>
      </c>
      <c r="V23">
        <v>2.0605650495104402</v>
      </c>
      <c r="W23" s="2"/>
      <c r="AF23" s="6"/>
      <c r="AG23" s="6"/>
      <c r="AH23" s="6"/>
    </row>
    <row r="24" spans="1:45" ht="12.75" customHeight="1" x14ac:dyDescent="0.2">
      <c r="A24" s="2">
        <v>41183</v>
      </c>
      <c r="B24">
        <f t="shared" si="1"/>
        <v>2012</v>
      </c>
      <c r="C24">
        <f t="shared" si="2"/>
        <v>10</v>
      </c>
      <c r="D24" s="54">
        <v>15760124.100000001</v>
      </c>
      <c r="E24" s="54">
        <v>228757.53349089678</v>
      </c>
      <c r="F24" s="54">
        <v>15988881.633490898</v>
      </c>
      <c r="G24" s="126">
        <v>48.9</v>
      </c>
      <c r="H24" s="126">
        <v>28.9</v>
      </c>
      <c r="I24" s="124">
        <f t="shared" ref="I24:J24" si="14">I12</f>
        <v>44.309999999999995</v>
      </c>
      <c r="J24" s="124">
        <f t="shared" si="14"/>
        <v>43.36</v>
      </c>
      <c r="K24" s="30">
        <v>31</v>
      </c>
      <c r="L24" s="30">
        <v>271</v>
      </c>
      <c r="M24" s="30">
        <v>2982.9</v>
      </c>
      <c r="N24" s="30">
        <v>0</v>
      </c>
      <c r="O24" s="30">
        <f t="shared" si="0"/>
        <v>16060863.504278556</v>
      </c>
      <c r="P24" s="30">
        <f t="shared" si="3"/>
        <v>15832105.970787659</v>
      </c>
      <c r="Q24" s="49">
        <f t="shared" si="4"/>
        <v>71981.870787657797</v>
      </c>
      <c r="R24" s="48">
        <f t="shared" si="5"/>
        <v>4.5019953513747912E-3</v>
      </c>
      <c r="W24" s="2"/>
      <c r="AF24" s="6"/>
      <c r="AG24" s="6"/>
      <c r="AH24" s="6"/>
    </row>
    <row r="25" spans="1:45" ht="12.75" customHeight="1" x14ac:dyDescent="0.2">
      <c r="A25" s="2">
        <v>41214</v>
      </c>
      <c r="B25">
        <f t="shared" si="1"/>
        <v>2012</v>
      </c>
      <c r="C25">
        <f t="shared" si="2"/>
        <v>11</v>
      </c>
      <c r="D25" s="54">
        <v>16203457.51</v>
      </c>
      <c r="E25" s="54">
        <v>228757.53349089678</v>
      </c>
      <c r="F25" s="54">
        <v>16432215.043490896</v>
      </c>
      <c r="G25" s="126">
        <v>197.7</v>
      </c>
      <c r="H25" s="126">
        <v>0.5</v>
      </c>
      <c r="I25" s="124">
        <f t="shared" ref="I25:J25" si="15">I13</f>
        <v>193.95999999999998</v>
      </c>
      <c r="J25" s="124">
        <f t="shared" si="15"/>
        <v>2.7399999999999998</v>
      </c>
      <c r="K25" s="30">
        <v>30</v>
      </c>
      <c r="L25" s="30">
        <v>271</v>
      </c>
      <c r="M25" s="30">
        <v>3000.2</v>
      </c>
      <c r="N25" s="30">
        <v>0</v>
      </c>
      <c r="O25" s="30">
        <f t="shared" si="0"/>
        <v>16427620.090290915</v>
      </c>
      <c r="P25" s="30">
        <f t="shared" si="3"/>
        <v>16198862.556800019</v>
      </c>
      <c r="Q25" s="49">
        <f t="shared" si="4"/>
        <v>-4594.9531999807805</v>
      </c>
      <c r="R25" s="48">
        <f t="shared" si="5"/>
        <v>2.7963078549175427E-4</v>
      </c>
      <c r="AC25" s="2"/>
      <c r="AD25" s="49"/>
      <c r="AE25" s="49"/>
      <c r="AF25" s="65"/>
      <c r="AG25" s="69"/>
      <c r="AH25" s="2"/>
      <c r="AI25" s="37"/>
      <c r="AL25" s="2"/>
      <c r="AM25" s="70"/>
      <c r="AN25" s="70"/>
      <c r="AO25" s="70"/>
      <c r="AP25" s="2"/>
      <c r="AQ25" s="70"/>
      <c r="AR25" s="70"/>
      <c r="AS25" s="5"/>
    </row>
    <row r="26" spans="1:45" ht="12.75" customHeight="1" x14ac:dyDescent="0.2">
      <c r="A26" s="2">
        <v>41244</v>
      </c>
      <c r="B26">
        <f t="shared" si="1"/>
        <v>2012</v>
      </c>
      <c r="C26">
        <f t="shared" si="2"/>
        <v>12</v>
      </c>
      <c r="D26" s="54">
        <v>16462599.949999996</v>
      </c>
      <c r="E26" s="54">
        <v>228757.53349089678</v>
      </c>
      <c r="F26" s="54">
        <v>16691357.483490892</v>
      </c>
      <c r="G26" s="126">
        <v>286.00000000000006</v>
      </c>
      <c r="H26" s="126">
        <v>0</v>
      </c>
      <c r="I26" s="124">
        <f t="shared" ref="I26:J26" si="16">I14</f>
        <v>327.48000000000008</v>
      </c>
      <c r="J26" s="124">
        <f t="shared" si="16"/>
        <v>0</v>
      </c>
      <c r="K26" s="30">
        <v>31</v>
      </c>
      <c r="L26" s="30">
        <v>271</v>
      </c>
      <c r="M26" s="30">
        <v>3005.9</v>
      </c>
      <c r="N26" s="30">
        <v>0</v>
      </c>
      <c r="O26" s="30">
        <f t="shared" si="0"/>
        <v>16906985.914541982</v>
      </c>
      <c r="P26" s="30">
        <f t="shared" si="3"/>
        <v>16678228.381051086</v>
      </c>
      <c r="Q26" s="49">
        <f t="shared" si="4"/>
        <v>215628.43105109036</v>
      </c>
      <c r="R26" s="48">
        <f t="shared" si="5"/>
        <v>1.2918567663796333E-2</v>
      </c>
      <c r="AC26" s="2"/>
      <c r="AD26" s="49"/>
      <c r="AE26" s="49"/>
      <c r="AF26" s="65"/>
      <c r="AG26" s="69"/>
      <c r="AH26" s="2"/>
      <c r="AI26" s="37"/>
      <c r="AL26" s="2"/>
      <c r="AM26" s="70"/>
      <c r="AN26" s="70"/>
      <c r="AO26" s="70"/>
      <c r="AP26" s="2"/>
      <c r="AQ26" s="70"/>
      <c r="AR26" s="70"/>
      <c r="AS26" s="5"/>
    </row>
    <row r="27" spans="1:45" ht="12.75" customHeight="1" x14ac:dyDescent="0.2">
      <c r="A27" s="2">
        <v>41275</v>
      </c>
      <c r="B27">
        <f t="shared" si="1"/>
        <v>2013</v>
      </c>
      <c r="C27">
        <f t="shared" si="2"/>
        <v>1</v>
      </c>
      <c r="D27" s="54">
        <v>16989455.739999998</v>
      </c>
      <c r="E27" s="54">
        <v>344677.17204248341</v>
      </c>
      <c r="F27" s="54">
        <v>17334132.91204248</v>
      </c>
      <c r="G27" s="126">
        <v>376.50000000000006</v>
      </c>
      <c r="H27" s="126">
        <v>0</v>
      </c>
      <c r="I27" s="124">
        <f t="shared" ref="I27:J27" si="17">I15</f>
        <v>439.5</v>
      </c>
      <c r="J27" s="124">
        <f t="shared" si="17"/>
        <v>0</v>
      </c>
      <c r="K27" s="30">
        <v>31</v>
      </c>
      <c r="L27" s="30">
        <v>271</v>
      </c>
      <c r="M27" s="30">
        <v>3014.1</v>
      </c>
      <c r="N27" s="30">
        <v>0</v>
      </c>
      <c r="O27" s="30">
        <f t="shared" si="0"/>
        <v>17661630.288036183</v>
      </c>
      <c r="P27" s="30">
        <f t="shared" si="3"/>
        <v>17316953.115993701</v>
      </c>
      <c r="Q27" s="49">
        <f t="shared" si="4"/>
        <v>327497.37599370256</v>
      </c>
      <c r="R27" s="48">
        <f t="shared" si="5"/>
        <v>1.8893207849247626E-2</v>
      </c>
      <c r="AC27" s="2"/>
      <c r="AD27" s="49"/>
      <c r="AE27" s="49"/>
      <c r="AF27" s="71"/>
      <c r="AG27" s="69"/>
      <c r="AH27" s="2"/>
      <c r="AI27" s="37"/>
      <c r="AL27" s="2"/>
      <c r="AM27" s="70"/>
      <c r="AO27" s="5"/>
      <c r="AP27" s="2"/>
      <c r="AQ27" s="70"/>
      <c r="AR27" s="5"/>
      <c r="AS27" s="5"/>
    </row>
    <row r="28" spans="1:45" x14ac:dyDescent="0.2">
      <c r="A28" s="2">
        <v>41306</v>
      </c>
      <c r="B28">
        <f t="shared" si="1"/>
        <v>2013</v>
      </c>
      <c r="C28">
        <f t="shared" si="2"/>
        <v>2</v>
      </c>
      <c r="D28" s="54">
        <v>16279005.990000002</v>
      </c>
      <c r="E28" s="54">
        <v>344677.17204248341</v>
      </c>
      <c r="F28" s="54">
        <v>16623683.162042486</v>
      </c>
      <c r="G28" s="126">
        <v>407.49999999999989</v>
      </c>
      <c r="H28" s="126">
        <v>0</v>
      </c>
      <c r="I28" s="124">
        <f t="shared" ref="I28:J28" si="18">I16</f>
        <v>403.5</v>
      </c>
      <c r="J28" s="124">
        <f t="shared" si="18"/>
        <v>0</v>
      </c>
      <c r="K28" s="30">
        <v>28</v>
      </c>
      <c r="L28" s="30">
        <v>271</v>
      </c>
      <c r="M28" s="30">
        <v>3018.3</v>
      </c>
      <c r="N28" s="30">
        <v>0</v>
      </c>
      <c r="O28" s="30">
        <f t="shared" si="0"/>
        <v>16602889.677852409</v>
      </c>
      <c r="P28" s="30">
        <f t="shared" si="3"/>
        <v>16258212.505809925</v>
      </c>
      <c r="Q28" s="49">
        <f t="shared" si="4"/>
        <v>-20793.48419007659</v>
      </c>
      <c r="R28" s="48">
        <f t="shared" si="5"/>
        <v>1.2508349676415378E-3</v>
      </c>
      <c r="AC28" s="2"/>
      <c r="AD28" s="49"/>
      <c r="AE28" s="49"/>
      <c r="AF28" s="65"/>
      <c r="AG28" s="69"/>
      <c r="AH28" s="2"/>
      <c r="AI28" s="37"/>
      <c r="AL28" s="2"/>
      <c r="AM28" s="70"/>
      <c r="AO28" s="5"/>
      <c r="AP28" s="2"/>
      <c r="AQ28" s="70"/>
      <c r="AR28" s="5"/>
      <c r="AS28" s="5"/>
    </row>
    <row r="29" spans="1:45" x14ac:dyDescent="0.2">
      <c r="A29" s="2">
        <v>41334</v>
      </c>
      <c r="B29">
        <f t="shared" si="1"/>
        <v>2013</v>
      </c>
      <c r="C29">
        <f t="shared" si="2"/>
        <v>3</v>
      </c>
      <c r="D29" s="54">
        <v>17118643.850000001</v>
      </c>
      <c r="E29" s="54">
        <v>344677.17204248341</v>
      </c>
      <c r="F29" s="54">
        <v>17463321.022042483</v>
      </c>
      <c r="G29" s="126">
        <v>306.8</v>
      </c>
      <c r="H29" s="126">
        <v>0</v>
      </c>
      <c r="I29" s="124">
        <f t="shared" ref="I29:J29" si="19">I17</f>
        <v>291.06</v>
      </c>
      <c r="J29" s="124">
        <f t="shared" si="19"/>
        <v>2.8099999999999996</v>
      </c>
      <c r="K29" s="30">
        <v>31</v>
      </c>
      <c r="L29" s="30">
        <v>272</v>
      </c>
      <c r="M29" s="30">
        <v>3023.1</v>
      </c>
      <c r="N29" s="30">
        <v>0</v>
      </c>
      <c r="O29" s="30">
        <f t="shared" si="0"/>
        <v>17400123.635948662</v>
      </c>
      <c r="P29" s="30">
        <f t="shared" si="3"/>
        <v>17055446.46390618</v>
      </c>
      <c r="Q29" s="49">
        <f t="shared" si="4"/>
        <v>-63197.386093821377</v>
      </c>
      <c r="R29" s="48">
        <f t="shared" si="5"/>
        <v>3.6188641332340296E-3</v>
      </c>
      <c r="AC29" s="2"/>
      <c r="AD29" s="49"/>
      <c r="AE29" s="49"/>
      <c r="AF29" s="65"/>
      <c r="AG29" s="69"/>
      <c r="AH29" s="2"/>
      <c r="AI29" s="37"/>
      <c r="AL29" s="2"/>
      <c r="AM29" s="70"/>
      <c r="AO29" s="5"/>
      <c r="AP29" s="2"/>
      <c r="AQ29" s="70"/>
      <c r="AR29" s="5"/>
      <c r="AS29" s="5"/>
    </row>
    <row r="30" spans="1:45" x14ac:dyDescent="0.2">
      <c r="A30" s="2">
        <v>41365</v>
      </c>
      <c r="B30">
        <f t="shared" si="1"/>
        <v>2013</v>
      </c>
      <c r="C30">
        <f t="shared" si="2"/>
        <v>4</v>
      </c>
      <c r="D30" s="54">
        <v>16317712.539999994</v>
      </c>
      <c r="E30" s="54">
        <v>344677.17204248341</v>
      </c>
      <c r="F30" s="54">
        <v>16662389.712042477</v>
      </c>
      <c r="G30" s="126">
        <v>135.19999999999999</v>
      </c>
      <c r="H30" s="126">
        <v>5.6000000000000014</v>
      </c>
      <c r="I30" s="124">
        <f t="shared" ref="I30:J30" si="20">I18</f>
        <v>120.71999999999998</v>
      </c>
      <c r="J30" s="124">
        <f t="shared" si="20"/>
        <v>6.58</v>
      </c>
      <c r="K30" s="30">
        <v>30</v>
      </c>
      <c r="L30" s="30">
        <v>273</v>
      </c>
      <c r="M30" s="30">
        <v>3031.4</v>
      </c>
      <c r="N30" s="30">
        <v>0</v>
      </c>
      <c r="O30" s="30">
        <f t="shared" si="0"/>
        <v>16593612.841875913</v>
      </c>
      <c r="P30" s="30">
        <f t="shared" si="3"/>
        <v>16248935.669833429</v>
      </c>
      <c r="Q30" s="49">
        <f t="shared" si="4"/>
        <v>-68776.87016656436</v>
      </c>
      <c r="R30" s="48">
        <f t="shared" si="5"/>
        <v>4.1276714418014707E-3</v>
      </c>
      <c r="AC30" s="2"/>
      <c r="AD30" s="49"/>
      <c r="AE30" s="49"/>
      <c r="AF30" s="71"/>
      <c r="AG30" s="69"/>
      <c r="AH30" s="2"/>
      <c r="AI30" s="37"/>
      <c r="AL30" s="2"/>
      <c r="AM30" s="70"/>
      <c r="AO30" s="5"/>
      <c r="AP30" s="2"/>
      <c r="AQ30" s="70"/>
      <c r="AR30" s="5"/>
      <c r="AS30" s="5"/>
    </row>
    <row r="31" spans="1:45" x14ac:dyDescent="0.2">
      <c r="A31" s="2">
        <v>41395</v>
      </c>
      <c r="B31">
        <f t="shared" si="1"/>
        <v>2013</v>
      </c>
      <c r="C31">
        <f t="shared" si="2"/>
        <v>5</v>
      </c>
      <c r="D31" s="54">
        <v>16555856.940000001</v>
      </c>
      <c r="E31" s="54">
        <v>344677.17204248341</v>
      </c>
      <c r="F31" s="54">
        <v>16900534.112042483</v>
      </c>
      <c r="G31" s="126">
        <v>14.4</v>
      </c>
      <c r="H31" s="126">
        <v>126.3</v>
      </c>
      <c r="I31" s="124">
        <f t="shared" ref="I31:J31" si="21">I19</f>
        <v>16.330000000000002</v>
      </c>
      <c r="J31" s="124">
        <f t="shared" si="21"/>
        <v>107.25</v>
      </c>
      <c r="K31" s="30">
        <v>31</v>
      </c>
      <c r="L31" s="30">
        <v>272</v>
      </c>
      <c r="M31" s="30">
        <v>3045.2</v>
      </c>
      <c r="N31" s="30">
        <v>0</v>
      </c>
      <c r="O31" s="30">
        <f t="shared" si="0"/>
        <v>16784301.57371645</v>
      </c>
      <c r="P31" s="30">
        <f t="shared" si="3"/>
        <v>16439624.401673967</v>
      </c>
      <c r="Q31" s="49">
        <f t="shared" si="4"/>
        <v>-116232.53832603246</v>
      </c>
      <c r="R31" s="48">
        <f t="shared" si="5"/>
        <v>6.8774476330432013E-3</v>
      </c>
      <c r="AC31" s="2"/>
      <c r="AD31" s="49"/>
      <c r="AE31" s="49"/>
      <c r="AF31" s="65"/>
      <c r="AG31" s="69"/>
      <c r="AH31" s="2"/>
      <c r="AI31" s="37"/>
      <c r="AL31" s="2"/>
      <c r="AM31" s="70"/>
      <c r="AO31" s="5"/>
      <c r="AP31" s="2"/>
      <c r="AQ31" s="70"/>
      <c r="AR31" s="5"/>
      <c r="AS31" s="5"/>
    </row>
    <row r="32" spans="1:45" x14ac:dyDescent="0.2">
      <c r="A32" s="2">
        <v>41426</v>
      </c>
      <c r="B32">
        <f t="shared" si="1"/>
        <v>2013</v>
      </c>
      <c r="C32">
        <f t="shared" si="2"/>
        <v>6</v>
      </c>
      <c r="D32" s="54">
        <v>16748419.359999999</v>
      </c>
      <c r="E32" s="54">
        <v>344677.17204248341</v>
      </c>
      <c r="F32" s="54">
        <v>17093096.532042481</v>
      </c>
      <c r="G32" s="126">
        <v>0</v>
      </c>
      <c r="H32" s="126">
        <v>207.00000000000006</v>
      </c>
      <c r="I32" s="124">
        <f t="shared" ref="I32:J32" si="22">I20</f>
        <v>0</v>
      </c>
      <c r="J32" s="124">
        <f t="shared" si="22"/>
        <v>230.10000000000005</v>
      </c>
      <c r="K32" s="30">
        <v>30</v>
      </c>
      <c r="L32" s="30">
        <v>273</v>
      </c>
      <c r="M32" s="30">
        <v>3060.2</v>
      </c>
      <c r="N32" s="30">
        <v>0</v>
      </c>
      <c r="O32" s="30">
        <f t="shared" si="0"/>
        <v>17246205.750506677</v>
      </c>
      <c r="P32" s="30">
        <f t="shared" si="3"/>
        <v>16901528.578464195</v>
      </c>
      <c r="Q32" s="49">
        <f t="shared" si="4"/>
        <v>153109.21846419573</v>
      </c>
      <c r="R32" s="48">
        <f t="shared" si="5"/>
        <v>8.9573716603764172E-3</v>
      </c>
      <c r="AC32" s="2"/>
      <c r="AD32" s="49"/>
      <c r="AE32" s="49"/>
      <c r="AF32" s="65"/>
      <c r="AG32" s="69"/>
      <c r="AH32" s="2"/>
      <c r="AI32" s="37"/>
      <c r="AL32" s="2"/>
      <c r="AM32" s="70"/>
      <c r="AO32" s="5"/>
      <c r="AP32" s="2"/>
      <c r="AQ32" s="70"/>
      <c r="AR32" s="5"/>
      <c r="AS32" s="5"/>
    </row>
    <row r="33" spans="1:49" x14ac:dyDescent="0.2">
      <c r="A33" s="2">
        <v>41456</v>
      </c>
      <c r="B33">
        <f t="shared" si="1"/>
        <v>2013</v>
      </c>
      <c r="C33">
        <f t="shared" si="2"/>
        <v>7</v>
      </c>
      <c r="D33" s="54">
        <v>17797829.260000005</v>
      </c>
      <c r="E33" s="54">
        <v>344677.17204248341</v>
      </c>
      <c r="F33" s="54">
        <v>18142506.432042487</v>
      </c>
      <c r="G33" s="126">
        <v>0</v>
      </c>
      <c r="H33" s="126">
        <v>319.3</v>
      </c>
      <c r="I33" s="124">
        <f t="shared" ref="I33:J33" si="23">I21</f>
        <v>0</v>
      </c>
      <c r="J33" s="124">
        <f t="shared" si="23"/>
        <v>331.41</v>
      </c>
      <c r="K33" s="30">
        <v>31</v>
      </c>
      <c r="L33" s="30">
        <v>271</v>
      </c>
      <c r="M33" s="30">
        <v>3066.1</v>
      </c>
      <c r="N33" s="30">
        <v>0</v>
      </c>
      <c r="O33" s="30">
        <f t="shared" si="0"/>
        <v>18222772.779904019</v>
      </c>
      <c r="P33" s="30">
        <f t="shared" si="3"/>
        <v>17878095.607861537</v>
      </c>
      <c r="Q33" s="49">
        <f t="shared" si="4"/>
        <v>80266.347861532122</v>
      </c>
      <c r="R33" s="48">
        <f t="shared" si="5"/>
        <v>4.4242149320542212E-3</v>
      </c>
      <c r="AC33" s="2"/>
      <c r="AD33" s="49"/>
      <c r="AE33" s="49"/>
      <c r="AF33" s="71"/>
      <c r="AG33" s="69"/>
      <c r="AH33" s="2"/>
      <c r="AI33" s="37"/>
      <c r="AL33" s="2"/>
      <c r="AM33" s="70"/>
      <c r="AO33" s="5"/>
      <c r="AP33" s="2"/>
      <c r="AQ33" s="70"/>
      <c r="AR33" s="5"/>
      <c r="AS33" s="5"/>
    </row>
    <row r="34" spans="1:49" x14ac:dyDescent="0.2">
      <c r="A34" s="2">
        <v>41487</v>
      </c>
      <c r="B34">
        <f t="shared" si="1"/>
        <v>2013</v>
      </c>
      <c r="C34">
        <f t="shared" si="2"/>
        <v>8</v>
      </c>
      <c r="D34" s="54">
        <v>17433510.789999999</v>
      </c>
      <c r="E34" s="54">
        <v>344677.17204248341</v>
      </c>
      <c r="F34" s="54">
        <v>17778187.962042481</v>
      </c>
      <c r="G34" s="126">
        <v>0</v>
      </c>
      <c r="H34" s="126">
        <v>275.40000000000009</v>
      </c>
      <c r="I34" s="124">
        <f t="shared" ref="I34:J34" si="24">I22</f>
        <v>0</v>
      </c>
      <c r="J34" s="124">
        <f t="shared" si="24"/>
        <v>304.46000000000004</v>
      </c>
      <c r="K34" s="30">
        <v>31</v>
      </c>
      <c r="L34" s="30">
        <v>271</v>
      </c>
      <c r="M34" s="30">
        <v>3075.2</v>
      </c>
      <c r="N34" s="30">
        <v>0</v>
      </c>
      <c r="O34" s="30">
        <f t="shared" si="0"/>
        <v>17970800.684491377</v>
      </c>
      <c r="P34" s="30">
        <f t="shared" si="3"/>
        <v>17626123.512448896</v>
      </c>
      <c r="Q34" s="49">
        <f t="shared" si="4"/>
        <v>192612.72244889662</v>
      </c>
      <c r="R34" s="48">
        <f t="shared" si="5"/>
        <v>1.0834215661356296E-2</v>
      </c>
      <c r="AC34" s="79"/>
      <c r="AD34" s="49"/>
      <c r="AE34" s="49"/>
      <c r="AF34" s="65"/>
      <c r="AG34" s="69"/>
      <c r="AH34" s="2"/>
      <c r="AI34" s="37"/>
      <c r="AL34" s="2"/>
      <c r="AM34" s="70"/>
      <c r="AO34" s="5"/>
      <c r="AP34" s="2"/>
      <c r="AQ34" s="70"/>
      <c r="AR34" s="5"/>
      <c r="AS34" s="5"/>
    </row>
    <row r="35" spans="1:49" x14ac:dyDescent="0.2">
      <c r="A35" s="2">
        <v>41518</v>
      </c>
      <c r="B35">
        <f t="shared" si="1"/>
        <v>2013</v>
      </c>
      <c r="C35">
        <f t="shared" si="2"/>
        <v>9</v>
      </c>
      <c r="D35" s="54">
        <v>16323800.050000003</v>
      </c>
      <c r="E35" s="54">
        <v>344677.17204248341</v>
      </c>
      <c r="F35" s="54">
        <v>16668477.222042486</v>
      </c>
      <c r="G35" s="126">
        <v>0</v>
      </c>
      <c r="H35" s="126">
        <v>125.1</v>
      </c>
      <c r="I35" s="124">
        <f t="shared" ref="I35:J35" si="25">I23</f>
        <v>0.24999999999999983</v>
      </c>
      <c r="J35" s="124">
        <f t="shared" si="25"/>
        <v>176.51</v>
      </c>
      <c r="K35" s="30">
        <v>30</v>
      </c>
      <c r="L35" s="30">
        <v>272</v>
      </c>
      <c r="M35" s="30">
        <v>3080.1</v>
      </c>
      <c r="N35" s="30">
        <v>0</v>
      </c>
      <c r="O35" s="30">
        <f t="shared" ref="O35:O66" si="26">F35+(I35-G35)*$T$11+(J35-H35)*$T$12</f>
        <v>17010527.677195892</v>
      </c>
      <c r="P35" s="30">
        <f t="shared" si="3"/>
        <v>16665850.505153408</v>
      </c>
      <c r="Q35" s="49">
        <f t="shared" ref="Q35:Q66" si="27">+O35-F35</f>
        <v>342050.45515340567</v>
      </c>
      <c r="R35" s="48">
        <f t="shared" si="5"/>
        <v>2.052079806672899E-2</v>
      </c>
      <c r="AC35" s="79"/>
      <c r="AD35" s="49"/>
      <c r="AE35" s="49"/>
      <c r="AF35" s="65"/>
      <c r="AG35" s="69"/>
      <c r="AH35" s="2"/>
      <c r="AI35" s="37"/>
      <c r="AL35" s="2"/>
      <c r="AM35" s="70"/>
      <c r="AO35" s="5"/>
      <c r="AP35" s="2"/>
      <c r="AQ35" s="70"/>
      <c r="AR35" s="5"/>
      <c r="AS35" s="5"/>
    </row>
    <row r="36" spans="1:49" x14ac:dyDescent="0.2">
      <c r="A36" s="2">
        <v>41548</v>
      </c>
      <c r="B36">
        <f t="shared" si="1"/>
        <v>2013</v>
      </c>
      <c r="C36">
        <f t="shared" si="2"/>
        <v>10</v>
      </c>
      <c r="D36" s="54">
        <v>16888949.909999996</v>
      </c>
      <c r="E36" s="54">
        <v>344677.17204248341</v>
      </c>
      <c r="F36" s="54">
        <v>17233627.082042478</v>
      </c>
      <c r="G36" s="126">
        <v>50.6</v>
      </c>
      <c r="H36" s="126">
        <v>37.9</v>
      </c>
      <c r="I36" s="124">
        <f t="shared" ref="I36:J36" si="28">I24</f>
        <v>44.309999999999995</v>
      </c>
      <c r="J36" s="124">
        <f t="shared" si="28"/>
        <v>43.36</v>
      </c>
      <c r="K36" s="30">
        <v>31</v>
      </c>
      <c r="L36" s="30">
        <v>274</v>
      </c>
      <c r="M36" s="30">
        <v>3079.6</v>
      </c>
      <c r="N36" s="30">
        <v>0</v>
      </c>
      <c r="O36" s="30">
        <f t="shared" si="26"/>
        <v>17237118.779790577</v>
      </c>
      <c r="P36" s="30">
        <f t="shared" si="3"/>
        <v>16892441.607748095</v>
      </c>
      <c r="Q36" s="49">
        <f t="shared" si="27"/>
        <v>3491.6977480985224</v>
      </c>
      <c r="R36" s="48">
        <f t="shared" si="5"/>
        <v>2.0260956857636128E-4</v>
      </c>
      <c r="W36" s="2"/>
      <c r="AC36" s="79"/>
      <c r="AD36" s="49"/>
      <c r="AE36" s="49"/>
      <c r="AG36" s="69"/>
      <c r="AH36" s="2"/>
      <c r="AI36" s="37"/>
      <c r="AL36" s="2"/>
      <c r="AM36" s="70"/>
      <c r="AO36" s="5"/>
      <c r="AP36" s="2"/>
      <c r="AQ36" s="70"/>
      <c r="AR36" s="5"/>
      <c r="AS36" s="5"/>
    </row>
    <row r="37" spans="1:49" x14ac:dyDescent="0.2">
      <c r="A37" s="2">
        <v>41579</v>
      </c>
      <c r="B37">
        <f t="shared" si="1"/>
        <v>2013</v>
      </c>
      <c r="C37">
        <f t="shared" si="2"/>
        <v>11</v>
      </c>
      <c r="D37" s="54">
        <v>16378559.519999998</v>
      </c>
      <c r="E37" s="54">
        <v>344677.17204248341</v>
      </c>
      <c r="F37" s="54">
        <v>16723236.692042481</v>
      </c>
      <c r="G37" s="126">
        <v>243.5</v>
      </c>
      <c r="H37" s="126">
        <v>0</v>
      </c>
      <c r="I37" s="124">
        <f t="shared" ref="I37:J37" si="29">I25</f>
        <v>193.95999999999998</v>
      </c>
      <c r="J37" s="124">
        <f t="shared" si="29"/>
        <v>2.7399999999999998</v>
      </c>
      <c r="K37" s="30">
        <v>30</v>
      </c>
      <c r="L37" s="30">
        <v>273</v>
      </c>
      <c r="M37" s="30">
        <v>3076.6</v>
      </c>
      <c r="N37" s="30">
        <v>0</v>
      </c>
      <c r="O37" s="30">
        <f t="shared" si="26"/>
        <v>16483870.397213835</v>
      </c>
      <c r="P37" s="30">
        <f t="shared" si="3"/>
        <v>16139193.225171352</v>
      </c>
      <c r="Q37" s="49">
        <f t="shared" si="27"/>
        <v>-239366.29482864588</v>
      </c>
      <c r="R37" s="48">
        <f t="shared" si="5"/>
        <v>1.4313395142134477E-2</v>
      </c>
      <c r="W37" s="2"/>
      <c r="AC37" s="79"/>
      <c r="AD37" s="5"/>
      <c r="AE37" s="5"/>
      <c r="AH37" s="2"/>
      <c r="AL37" s="2"/>
      <c r="AM37" s="72"/>
      <c r="AO37" s="5"/>
      <c r="AP37" s="2"/>
      <c r="AQ37" s="72"/>
      <c r="AR37" s="5"/>
      <c r="AS37" s="5"/>
      <c r="AT37" s="28"/>
      <c r="AU37" s="28"/>
      <c r="AV37" s="28"/>
    </row>
    <row r="38" spans="1:49" x14ac:dyDescent="0.2">
      <c r="A38" s="2">
        <v>41609</v>
      </c>
      <c r="B38">
        <f t="shared" si="1"/>
        <v>2013</v>
      </c>
      <c r="C38">
        <f t="shared" si="2"/>
        <v>12</v>
      </c>
      <c r="D38" s="54">
        <v>18347866.910000004</v>
      </c>
      <c r="E38" s="54">
        <v>344677.17204248341</v>
      </c>
      <c r="F38" s="54">
        <v>18692544.082042485</v>
      </c>
      <c r="G38" s="126">
        <v>439.89999999999992</v>
      </c>
      <c r="H38" s="126">
        <v>0</v>
      </c>
      <c r="I38" s="124">
        <f t="shared" ref="I38:J38" si="30">I26</f>
        <v>327.48000000000008</v>
      </c>
      <c r="J38" s="124">
        <f t="shared" si="30"/>
        <v>0</v>
      </c>
      <c r="K38" s="30">
        <v>31</v>
      </c>
      <c r="L38" s="30">
        <v>273</v>
      </c>
      <c r="M38" s="30">
        <v>3073.7</v>
      </c>
      <c r="N38" s="30">
        <v>0</v>
      </c>
      <c r="O38" s="30">
        <f t="shared" si="26"/>
        <v>18108143.208880391</v>
      </c>
      <c r="P38" s="30">
        <f t="shared" si="3"/>
        <v>17763466.036837909</v>
      </c>
      <c r="Q38" s="49">
        <f t="shared" si="27"/>
        <v>-584400.8731620945</v>
      </c>
      <c r="R38" s="48">
        <f t="shared" si="5"/>
        <v>3.1263848869213878E-2</v>
      </c>
      <c r="W38" s="79"/>
      <c r="AC38" s="79"/>
      <c r="AD38" s="5"/>
      <c r="AE38" s="5"/>
      <c r="AH38" s="2"/>
      <c r="AL38" s="2"/>
      <c r="AM38" s="72"/>
      <c r="AO38" s="5"/>
      <c r="AP38" s="2"/>
      <c r="AQ38" s="72"/>
      <c r="AR38" s="5"/>
      <c r="AS38" s="5"/>
      <c r="AT38" s="28"/>
      <c r="AU38" s="28"/>
      <c r="AV38" s="28"/>
    </row>
    <row r="39" spans="1:49" x14ac:dyDescent="0.2">
      <c r="A39" s="2">
        <v>41640</v>
      </c>
      <c r="B39">
        <f t="shared" si="1"/>
        <v>2014</v>
      </c>
      <c r="C39">
        <f t="shared" si="2"/>
        <v>1</v>
      </c>
      <c r="D39" s="54">
        <v>18474770.990000002</v>
      </c>
      <c r="E39" s="54">
        <v>480728.51896375552</v>
      </c>
      <c r="F39" s="54">
        <v>18955499.508963756</v>
      </c>
      <c r="G39" s="126">
        <v>577.90000000000009</v>
      </c>
      <c r="H39" s="126">
        <v>0</v>
      </c>
      <c r="I39" s="124">
        <f t="shared" ref="I39:J39" si="31">I27</f>
        <v>439.5</v>
      </c>
      <c r="J39" s="124">
        <f t="shared" si="31"/>
        <v>0</v>
      </c>
      <c r="K39" s="30">
        <v>31</v>
      </c>
      <c r="L39" s="30">
        <v>274</v>
      </c>
      <c r="M39" s="30">
        <v>3070.8</v>
      </c>
      <c r="N39" s="30">
        <v>0</v>
      </c>
      <c r="O39" s="30">
        <f t="shared" si="26"/>
        <v>18236044.955987118</v>
      </c>
      <c r="P39" s="30">
        <f t="shared" si="3"/>
        <v>17755316.437023364</v>
      </c>
      <c r="Q39" s="49">
        <f t="shared" si="27"/>
        <v>-719454.55297663808</v>
      </c>
      <c r="R39" s="48">
        <f t="shared" si="5"/>
        <v>3.7954924513406749E-2</v>
      </c>
      <c r="W39" s="79"/>
      <c r="AC39" s="2"/>
      <c r="AD39" s="5"/>
      <c r="AE39" s="5"/>
      <c r="AH39" s="2"/>
      <c r="AL39" s="2"/>
      <c r="AM39" s="72"/>
      <c r="AO39" s="5"/>
      <c r="AP39" s="2"/>
      <c r="AQ39" s="72"/>
      <c r="AR39" s="5"/>
      <c r="AS39" s="5"/>
      <c r="AT39" s="28"/>
      <c r="AU39" s="28"/>
      <c r="AV39" s="28"/>
    </row>
    <row r="40" spans="1:49" x14ac:dyDescent="0.2">
      <c r="A40" s="2">
        <v>41671</v>
      </c>
      <c r="B40">
        <f t="shared" si="1"/>
        <v>2014</v>
      </c>
      <c r="C40">
        <f t="shared" si="2"/>
        <v>2</v>
      </c>
      <c r="D40" s="54">
        <v>17309349.019999996</v>
      </c>
      <c r="E40" s="54">
        <v>480728.51896375552</v>
      </c>
      <c r="F40" s="54">
        <v>17790077.53896375</v>
      </c>
      <c r="G40" s="126">
        <v>513.09999999999991</v>
      </c>
      <c r="H40" s="126">
        <v>0</v>
      </c>
      <c r="I40" s="124">
        <f t="shared" ref="I40:J40" si="32">I28</f>
        <v>403.5</v>
      </c>
      <c r="J40" s="124">
        <f t="shared" si="32"/>
        <v>0</v>
      </c>
      <c r="K40" s="30">
        <v>28</v>
      </c>
      <c r="L40" s="30">
        <v>274</v>
      </c>
      <c r="M40" s="30">
        <v>3071.7</v>
      </c>
      <c r="N40" s="30">
        <v>0</v>
      </c>
      <c r="O40" s="30">
        <f t="shared" si="26"/>
        <v>17220336.072155662</v>
      </c>
      <c r="P40" s="30">
        <f t="shared" si="3"/>
        <v>16739607.553191906</v>
      </c>
      <c r="Q40" s="49">
        <f t="shared" si="27"/>
        <v>-569741.46680808812</v>
      </c>
      <c r="R40" s="48">
        <f t="shared" si="5"/>
        <v>3.2025800087731086E-2</v>
      </c>
      <c r="W40" s="79"/>
      <c r="AC40" s="2"/>
      <c r="AD40" s="5"/>
      <c r="AE40" s="5"/>
      <c r="AH40" s="2"/>
      <c r="AL40" s="2"/>
      <c r="AM40" s="72"/>
      <c r="AO40" s="5"/>
      <c r="AP40" s="2"/>
      <c r="AQ40" s="72"/>
      <c r="AR40" s="5"/>
      <c r="AS40" s="5"/>
      <c r="AT40" s="28"/>
      <c r="AU40" s="28"/>
      <c r="AV40" s="28"/>
    </row>
    <row r="41" spans="1:49" x14ac:dyDescent="0.2">
      <c r="A41" s="2">
        <v>41699</v>
      </c>
      <c r="B41">
        <f t="shared" si="1"/>
        <v>2014</v>
      </c>
      <c r="C41">
        <f t="shared" si="2"/>
        <v>3</v>
      </c>
      <c r="D41" s="54">
        <v>18435424.780000001</v>
      </c>
      <c r="E41" s="54">
        <v>480728.51896375552</v>
      </c>
      <c r="F41" s="54">
        <v>18916153.298963755</v>
      </c>
      <c r="G41" s="126">
        <v>442.59999999999991</v>
      </c>
      <c r="H41" s="126">
        <v>0</v>
      </c>
      <c r="I41" s="124">
        <f t="shared" ref="I41:J41" si="33">I29</f>
        <v>291.06</v>
      </c>
      <c r="J41" s="124">
        <f t="shared" si="33"/>
        <v>2.8099999999999996</v>
      </c>
      <c r="K41" s="30">
        <v>31</v>
      </c>
      <c r="L41" s="30">
        <v>275</v>
      </c>
      <c r="M41" s="30">
        <v>3074.2</v>
      </c>
      <c r="N41" s="30">
        <v>0</v>
      </c>
      <c r="O41" s="30">
        <f t="shared" si="26"/>
        <v>18147017.124616843</v>
      </c>
      <c r="P41" s="30">
        <f t="shared" si="3"/>
        <v>17666288.605653089</v>
      </c>
      <c r="Q41" s="49">
        <f t="shared" si="27"/>
        <v>-769136.17434691265</v>
      </c>
      <c r="R41" s="48">
        <f t="shared" si="5"/>
        <v>4.0660284477026659E-2</v>
      </c>
      <c r="AC41" s="2"/>
      <c r="AD41" s="5"/>
      <c r="AE41" s="5"/>
      <c r="AH41" s="2"/>
      <c r="AL41" s="2"/>
      <c r="AM41" s="72"/>
      <c r="AO41" s="5"/>
      <c r="AP41" s="2"/>
      <c r="AQ41" s="72"/>
      <c r="AR41" s="5"/>
      <c r="AS41" s="5"/>
      <c r="AT41" s="28"/>
      <c r="AU41" s="28"/>
      <c r="AV41" s="28"/>
    </row>
    <row r="42" spans="1:49" x14ac:dyDescent="0.2">
      <c r="A42" s="2">
        <v>41730</v>
      </c>
      <c r="B42">
        <f t="shared" si="1"/>
        <v>2014</v>
      </c>
      <c r="C42">
        <f t="shared" si="2"/>
        <v>4</v>
      </c>
      <c r="D42" s="54">
        <v>16625533.470000004</v>
      </c>
      <c r="E42" s="54">
        <v>480728.51896375552</v>
      </c>
      <c r="F42" s="54">
        <v>17106261.98896376</v>
      </c>
      <c r="G42" s="126">
        <v>126.49999999999997</v>
      </c>
      <c r="H42" s="126">
        <v>2.5999999999999996</v>
      </c>
      <c r="I42" s="124">
        <f t="shared" ref="I42:J42" si="34">I30</f>
        <v>120.71999999999998</v>
      </c>
      <c r="J42" s="124">
        <f t="shared" si="34"/>
        <v>6.58</v>
      </c>
      <c r="K42" s="30">
        <v>30</v>
      </c>
      <c r="L42" s="30">
        <v>276</v>
      </c>
      <c r="M42" s="30">
        <v>3082.6</v>
      </c>
      <c r="N42" s="30">
        <v>0</v>
      </c>
      <c r="O42" s="30">
        <f t="shared" si="26"/>
        <v>17102595.260996871</v>
      </c>
      <c r="P42" s="30">
        <f t="shared" si="3"/>
        <v>16621866.742033115</v>
      </c>
      <c r="Q42" s="49">
        <f t="shared" si="27"/>
        <v>-3666.727966889739</v>
      </c>
      <c r="R42" s="48">
        <f t="shared" si="5"/>
        <v>2.143500414792757E-4</v>
      </c>
      <c r="AC42" s="2"/>
      <c r="AD42" s="5"/>
      <c r="AE42" s="5"/>
      <c r="AH42" s="2"/>
      <c r="AL42" s="2"/>
      <c r="AM42" s="72"/>
      <c r="AO42" s="5"/>
      <c r="AP42" s="2"/>
      <c r="AQ42" s="72"/>
      <c r="AR42" s="5"/>
      <c r="AS42" s="5"/>
      <c r="AT42" s="28"/>
      <c r="AU42" s="28"/>
      <c r="AV42" s="28"/>
    </row>
    <row r="43" spans="1:49" x14ac:dyDescent="0.2">
      <c r="A43" s="2">
        <v>41760</v>
      </c>
      <c r="B43">
        <f t="shared" si="1"/>
        <v>2014</v>
      </c>
      <c r="C43">
        <f t="shared" si="2"/>
        <v>5</v>
      </c>
      <c r="D43" s="54">
        <v>16304922.880000003</v>
      </c>
      <c r="E43" s="54">
        <v>480728.51896375552</v>
      </c>
      <c r="F43" s="54">
        <v>16785651.398963757</v>
      </c>
      <c r="G43" s="126">
        <v>7.2000000000000011</v>
      </c>
      <c r="H43" s="126">
        <v>92</v>
      </c>
      <c r="I43" s="124">
        <f t="shared" ref="I43:J43" si="35">I31</f>
        <v>16.330000000000002</v>
      </c>
      <c r="J43" s="124">
        <f t="shared" si="35"/>
        <v>107.25</v>
      </c>
      <c r="K43" s="30">
        <v>31</v>
      </c>
      <c r="L43" s="30">
        <v>278</v>
      </c>
      <c r="M43" s="30">
        <v>3070.2</v>
      </c>
      <c r="N43" s="30">
        <v>0</v>
      </c>
      <c r="O43" s="30">
        <f t="shared" si="26"/>
        <v>16934191.12323276</v>
      </c>
      <c r="P43" s="30">
        <f t="shared" si="3"/>
        <v>16453462.604269003</v>
      </c>
      <c r="Q43" s="49">
        <f t="shared" si="27"/>
        <v>148539.72426900268</v>
      </c>
      <c r="R43" s="48">
        <f t="shared" si="5"/>
        <v>8.8492082159035302E-3</v>
      </c>
      <c r="AC43" s="2"/>
      <c r="AD43" s="5"/>
      <c r="AE43" s="5"/>
      <c r="AH43" s="2"/>
      <c r="AL43" s="2"/>
      <c r="AM43" s="72"/>
      <c r="AO43" s="5"/>
      <c r="AP43" s="2"/>
      <c r="AQ43" s="72"/>
      <c r="AR43" s="5"/>
      <c r="AS43" s="5"/>
      <c r="AT43" s="28"/>
      <c r="AU43" s="28"/>
      <c r="AV43" s="28"/>
    </row>
    <row r="44" spans="1:49" x14ac:dyDescent="0.2">
      <c r="A44" s="2">
        <v>41791</v>
      </c>
      <c r="B44">
        <f t="shared" si="1"/>
        <v>2014</v>
      </c>
      <c r="C44">
        <f t="shared" si="2"/>
        <v>6</v>
      </c>
      <c r="D44" s="54">
        <v>16672277.809999999</v>
      </c>
      <c r="E44" s="54">
        <v>480728.51896375552</v>
      </c>
      <c r="F44" s="54">
        <v>17153006.328963753</v>
      </c>
      <c r="G44" s="126">
        <v>0</v>
      </c>
      <c r="H44" s="126">
        <v>234</v>
      </c>
      <c r="I44" s="124">
        <f t="shared" ref="I44:J44" si="36">I32</f>
        <v>0</v>
      </c>
      <c r="J44" s="124">
        <f t="shared" si="36"/>
        <v>230.10000000000005</v>
      </c>
      <c r="K44" s="30">
        <v>30</v>
      </c>
      <c r="L44" s="30">
        <v>279</v>
      </c>
      <c r="M44" s="30">
        <v>3046.3</v>
      </c>
      <c r="N44" s="30">
        <v>0</v>
      </c>
      <c r="O44" s="30">
        <f t="shared" si="26"/>
        <v>17127156.720651615</v>
      </c>
      <c r="P44" s="30">
        <f t="shared" si="3"/>
        <v>16646428.201687859</v>
      </c>
      <c r="Q44" s="49">
        <f t="shared" si="27"/>
        <v>-25849.608312137425</v>
      </c>
      <c r="R44" s="48">
        <f t="shared" si="5"/>
        <v>1.5070016192140618E-3</v>
      </c>
      <c r="AB44" s="79"/>
      <c r="AC44" s="2"/>
      <c r="AD44" s="5"/>
      <c r="AE44" s="5"/>
      <c r="AH44" s="2"/>
      <c r="AL44" s="2"/>
      <c r="AM44" s="72"/>
      <c r="AO44" s="5"/>
      <c r="AP44" s="2"/>
      <c r="AQ44" s="72"/>
      <c r="AR44" s="5"/>
      <c r="AS44" s="5"/>
      <c r="AT44" s="28"/>
      <c r="AU44" s="28"/>
      <c r="AV44" s="28"/>
    </row>
    <row r="45" spans="1:49" x14ac:dyDescent="0.2">
      <c r="A45" s="2">
        <v>41821</v>
      </c>
      <c r="B45">
        <f t="shared" si="1"/>
        <v>2014</v>
      </c>
      <c r="C45">
        <f t="shared" si="2"/>
        <v>7</v>
      </c>
      <c r="D45" s="54">
        <v>16686928.109999999</v>
      </c>
      <c r="E45" s="54">
        <v>480728.51896375552</v>
      </c>
      <c r="F45" s="54">
        <v>17167656.628963754</v>
      </c>
      <c r="G45" s="126">
        <v>0</v>
      </c>
      <c r="H45" s="126">
        <v>253</v>
      </c>
      <c r="I45" s="124">
        <f t="shared" ref="I45:J45" si="37">I33</f>
        <v>0</v>
      </c>
      <c r="J45" s="124">
        <f t="shared" si="37"/>
        <v>331.41</v>
      </c>
      <c r="K45" s="30">
        <v>31</v>
      </c>
      <c r="L45" s="30">
        <v>282</v>
      </c>
      <c r="M45" s="30">
        <v>3021.9</v>
      </c>
      <c r="N45" s="30">
        <v>0</v>
      </c>
      <c r="O45" s="30">
        <f t="shared" si="26"/>
        <v>17687366.318131611</v>
      </c>
      <c r="P45" s="30">
        <f t="shared" si="3"/>
        <v>17206637.799167857</v>
      </c>
      <c r="Q45" s="49">
        <f t="shared" si="27"/>
        <v>519709.68916785717</v>
      </c>
      <c r="R45" s="48">
        <f t="shared" si="5"/>
        <v>3.0272605073603867E-2</v>
      </c>
      <c r="V45" s="79"/>
      <c r="AC45" s="2"/>
      <c r="AD45" s="5"/>
      <c r="AE45" s="5"/>
      <c r="AH45" s="2"/>
      <c r="AL45" s="2"/>
      <c r="AM45" s="72"/>
      <c r="AO45" s="5"/>
      <c r="AP45" s="2"/>
      <c r="AQ45" s="72"/>
      <c r="AR45" s="5"/>
      <c r="AS45" s="5"/>
      <c r="AT45" s="28"/>
      <c r="AU45" s="28"/>
      <c r="AV45" s="28"/>
    </row>
    <row r="46" spans="1:49" x14ac:dyDescent="0.2">
      <c r="A46" s="2">
        <v>41852</v>
      </c>
      <c r="B46">
        <f t="shared" si="1"/>
        <v>2014</v>
      </c>
      <c r="C46">
        <f t="shared" si="2"/>
        <v>8</v>
      </c>
      <c r="D46" s="54">
        <v>16611492.549999997</v>
      </c>
      <c r="E46" s="54">
        <v>480728.51896375552</v>
      </c>
      <c r="F46" s="54">
        <v>17092221.068963751</v>
      </c>
      <c r="G46" s="126">
        <v>0</v>
      </c>
      <c r="H46" s="126">
        <v>259</v>
      </c>
      <c r="I46" s="124">
        <f t="shared" ref="I46:J46" si="38">I34</f>
        <v>0</v>
      </c>
      <c r="J46" s="124">
        <f t="shared" si="38"/>
        <v>304.46000000000004</v>
      </c>
      <c r="K46" s="30">
        <v>31</v>
      </c>
      <c r="L46" s="30">
        <v>283</v>
      </c>
      <c r="M46" s="30">
        <v>3010.9</v>
      </c>
      <c r="N46" s="30">
        <v>0</v>
      </c>
      <c r="O46" s="30">
        <f t="shared" si="26"/>
        <v>17393534.708417531</v>
      </c>
      <c r="P46" s="30">
        <f t="shared" si="3"/>
        <v>16912806.189453777</v>
      </c>
      <c r="Q46" s="49">
        <f t="shared" si="27"/>
        <v>301313.63945377991</v>
      </c>
      <c r="R46" s="48">
        <f t="shared" si="5"/>
        <v>1.7628700110888962E-2</v>
      </c>
      <c r="V46" s="79"/>
      <c r="AC46" s="2"/>
      <c r="AD46" s="5"/>
      <c r="AE46" s="5"/>
      <c r="AH46" s="2"/>
      <c r="AL46" s="2"/>
      <c r="AM46" s="72"/>
      <c r="AO46" s="5"/>
      <c r="AP46" s="2"/>
      <c r="AQ46" s="72"/>
      <c r="AR46" s="5"/>
      <c r="AS46" s="5"/>
      <c r="AT46" s="28"/>
      <c r="AU46" s="28"/>
      <c r="AV46" s="28"/>
      <c r="AW46" s="28"/>
    </row>
    <row r="47" spans="1:49" x14ac:dyDescent="0.2">
      <c r="A47" s="2">
        <v>41883</v>
      </c>
      <c r="B47">
        <f t="shared" si="1"/>
        <v>2014</v>
      </c>
      <c r="C47">
        <f t="shared" si="2"/>
        <v>9</v>
      </c>
      <c r="D47" s="54">
        <v>16361292.15</v>
      </c>
      <c r="E47" s="54">
        <v>480728.51896375552</v>
      </c>
      <c r="F47" s="54">
        <v>16842020.668963756</v>
      </c>
      <c r="G47" s="126">
        <v>0.79999999999999893</v>
      </c>
      <c r="H47" s="126">
        <v>148.69999999999999</v>
      </c>
      <c r="I47" s="124">
        <f t="shared" ref="I47:J47" si="39">I35</f>
        <v>0.24999999999999983</v>
      </c>
      <c r="J47" s="124">
        <f t="shared" si="39"/>
        <v>176.51</v>
      </c>
      <c r="K47" s="30">
        <v>30</v>
      </c>
      <c r="L47" s="30">
        <v>283</v>
      </c>
      <c r="M47" s="30">
        <v>3013.7</v>
      </c>
      <c r="N47" s="30">
        <v>0</v>
      </c>
      <c r="O47" s="30">
        <f t="shared" si="26"/>
        <v>17023489.156467244</v>
      </c>
      <c r="P47" s="30">
        <f t="shared" si="3"/>
        <v>16542760.637503488</v>
      </c>
      <c r="Q47" s="49">
        <f t="shared" si="27"/>
        <v>181468.48750348762</v>
      </c>
      <c r="R47" s="48">
        <f t="shared" si="5"/>
        <v>1.0774745564699088E-2</v>
      </c>
      <c r="AC47" s="2"/>
      <c r="AD47" s="5"/>
      <c r="AE47" s="5"/>
      <c r="AH47" s="2"/>
      <c r="AL47" s="2"/>
      <c r="AM47" s="72"/>
      <c r="AO47" s="5"/>
      <c r="AP47" s="2"/>
      <c r="AQ47" s="57"/>
      <c r="AR47" s="5"/>
      <c r="AS47" s="5"/>
      <c r="AT47" s="28"/>
      <c r="AU47" s="28"/>
      <c r="AV47" s="28"/>
    </row>
    <row r="48" spans="1:49" x14ac:dyDescent="0.2">
      <c r="A48" s="2">
        <v>41913</v>
      </c>
      <c r="B48">
        <f t="shared" si="1"/>
        <v>2014</v>
      </c>
      <c r="C48">
        <f t="shared" si="2"/>
        <v>10</v>
      </c>
      <c r="D48" s="54">
        <v>16487938.609999999</v>
      </c>
      <c r="E48" s="54">
        <v>480728.51896375552</v>
      </c>
      <c r="F48" s="54">
        <v>16968667.128963754</v>
      </c>
      <c r="G48" s="126">
        <v>36.099999999999994</v>
      </c>
      <c r="H48" s="126">
        <v>38.1</v>
      </c>
      <c r="I48" s="124">
        <f t="shared" ref="I48:J48" si="40">I36</f>
        <v>44.309999999999995</v>
      </c>
      <c r="J48" s="124">
        <f t="shared" si="40"/>
        <v>43.36</v>
      </c>
      <c r="K48" s="30">
        <v>31</v>
      </c>
      <c r="L48" s="30">
        <v>282</v>
      </c>
      <c r="M48" s="30">
        <v>3027.3</v>
      </c>
      <c r="N48" s="30">
        <v>0</v>
      </c>
      <c r="O48" s="30">
        <f t="shared" si="26"/>
        <v>17046209.585961793</v>
      </c>
      <c r="P48" s="30">
        <f t="shared" si="3"/>
        <v>16565481.066998037</v>
      </c>
      <c r="Q48" s="49">
        <f t="shared" si="27"/>
        <v>77542.456998039037</v>
      </c>
      <c r="R48" s="48">
        <f t="shared" si="5"/>
        <v>4.5697435401795411E-3</v>
      </c>
      <c r="AC48" s="2"/>
      <c r="AD48" s="5"/>
      <c r="AE48" s="5"/>
      <c r="AH48" s="2"/>
      <c r="AL48" s="2"/>
      <c r="AM48" s="72"/>
      <c r="AO48" s="5"/>
      <c r="AP48" s="2"/>
      <c r="AQ48" s="72"/>
      <c r="AR48" s="5"/>
      <c r="AS48" s="5"/>
      <c r="AT48" s="28"/>
      <c r="AU48" s="28"/>
      <c r="AV48" s="28"/>
    </row>
    <row r="49" spans="1:48" x14ac:dyDescent="0.2">
      <c r="A49" s="2">
        <v>41944</v>
      </c>
      <c r="B49">
        <f t="shared" si="1"/>
        <v>2014</v>
      </c>
      <c r="C49">
        <f t="shared" si="2"/>
        <v>11</v>
      </c>
      <c r="D49" s="54">
        <v>17004284.760000002</v>
      </c>
      <c r="E49" s="54">
        <v>480728.51896375552</v>
      </c>
      <c r="F49" s="54">
        <v>17485013.278963756</v>
      </c>
      <c r="G49" s="126">
        <v>244.20000000000002</v>
      </c>
      <c r="H49" s="126">
        <v>0</v>
      </c>
      <c r="I49" s="124">
        <f t="shared" ref="I49:J49" si="41">I37</f>
        <v>193.95999999999998</v>
      </c>
      <c r="J49" s="124">
        <f t="shared" si="41"/>
        <v>2.7399999999999998</v>
      </c>
      <c r="K49" s="30">
        <v>30</v>
      </c>
      <c r="L49" s="30">
        <v>284</v>
      </c>
      <c r="M49" s="30">
        <v>3036.7</v>
      </c>
      <c r="N49" s="30">
        <v>0</v>
      </c>
      <c r="O49" s="30">
        <f t="shared" si="26"/>
        <v>17242008.124401845</v>
      </c>
      <c r="P49" s="30">
        <f t="shared" si="3"/>
        <v>16761279.605438089</v>
      </c>
      <c r="Q49" s="49">
        <f t="shared" si="27"/>
        <v>-243005.15456191078</v>
      </c>
      <c r="R49" s="48">
        <f t="shared" si="5"/>
        <v>1.389791078135872E-2</v>
      </c>
      <c r="AC49" s="2"/>
      <c r="AD49" s="5"/>
      <c r="AE49" s="5"/>
      <c r="AH49" s="2"/>
      <c r="AL49" s="2"/>
      <c r="AM49" s="72"/>
      <c r="AO49" s="5"/>
      <c r="AP49" s="2"/>
      <c r="AQ49" s="72"/>
      <c r="AR49" s="5"/>
      <c r="AS49" s="5"/>
      <c r="AT49" s="28"/>
      <c r="AU49" s="28"/>
      <c r="AV49" s="28"/>
    </row>
    <row r="50" spans="1:48" x14ac:dyDescent="0.2">
      <c r="A50" s="2">
        <v>41974</v>
      </c>
      <c r="B50">
        <f t="shared" si="1"/>
        <v>2014</v>
      </c>
      <c r="C50">
        <f t="shared" si="2"/>
        <v>12</v>
      </c>
      <c r="D50" s="54">
        <v>17950454.600000001</v>
      </c>
      <c r="E50" s="54">
        <v>480728.51896375552</v>
      </c>
      <c r="F50" s="54">
        <v>18431183.118963756</v>
      </c>
      <c r="G50" s="126">
        <v>309.30000000000007</v>
      </c>
      <c r="H50" s="126">
        <v>0</v>
      </c>
      <c r="I50" s="124">
        <f t="shared" ref="I50:J50" si="42">I38</f>
        <v>327.48000000000008</v>
      </c>
      <c r="J50" s="124">
        <f t="shared" si="42"/>
        <v>0</v>
      </c>
      <c r="K50" s="30">
        <v>31</v>
      </c>
      <c r="L50" s="30">
        <v>284</v>
      </c>
      <c r="M50" s="30">
        <v>3034.6</v>
      </c>
      <c r="N50" s="30">
        <v>0</v>
      </c>
      <c r="O50" s="30">
        <f t="shared" si="26"/>
        <v>18525689.504607651</v>
      </c>
      <c r="P50" s="30">
        <f t="shared" si="3"/>
        <v>18044960.985643897</v>
      </c>
      <c r="Q50" s="49">
        <f t="shared" si="27"/>
        <v>94506.385643895715</v>
      </c>
      <c r="R50" s="48">
        <f t="shared" si="5"/>
        <v>5.1275268133307485E-3</v>
      </c>
      <c r="AC50" s="2"/>
      <c r="AD50" s="5"/>
      <c r="AE50" s="5"/>
      <c r="AH50" s="2"/>
      <c r="AL50" s="2"/>
      <c r="AM50" s="72"/>
      <c r="AO50" s="5"/>
      <c r="AP50" s="2"/>
      <c r="AQ50" s="72"/>
      <c r="AR50" s="5"/>
      <c r="AS50" s="5"/>
      <c r="AT50" s="28"/>
      <c r="AU50" s="28"/>
      <c r="AV50" s="28"/>
    </row>
    <row r="51" spans="1:48" x14ac:dyDescent="0.2">
      <c r="A51" s="2">
        <v>42005</v>
      </c>
      <c r="B51">
        <f t="shared" si="1"/>
        <v>2015</v>
      </c>
      <c r="C51">
        <f t="shared" si="2"/>
        <v>1</v>
      </c>
      <c r="D51" s="54">
        <v>18875685.754216857</v>
      </c>
      <c r="E51" s="54">
        <v>555044.66445330705</v>
      </c>
      <c r="F51" s="54">
        <v>19430730.418670163</v>
      </c>
      <c r="G51" s="126">
        <v>544.4</v>
      </c>
      <c r="H51" s="126">
        <v>0</v>
      </c>
      <c r="I51" s="124">
        <f t="shared" ref="I51:J51" si="43">I39</f>
        <v>439.5</v>
      </c>
      <c r="J51" s="124">
        <f t="shared" si="43"/>
        <v>0</v>
      </c>
      <c r="K51" s="30">
        <v>31</v>
      </c>
      <c r="L51" s="30">
        <v>286</v>
      </c>
      <c r="M51" s="30">
        <v>3029.1</v>
      </c>
      <c r="N51" s="30">
        <v>0</v>
      </c>
      <c r="O51" s="30">
        <f t="shared" si="26"/>
        <v>18885421.295785412</v>
      </c>
      <c r="P51" s="30">
        <f t="shared" si="3"/>
        <v>18330376.631332107</v>
      </c>
      <c r="Q51" s="49">
        <f t="shared" si="27"/>
        <v>-545309.12288475037</v>
      </c>
      <c r="R51" s="48">
        <f t="shared" si="5"/>
        <v>2.8064262698060286E-2</v>
      </c>
      <c r="AC51" s="2"/>
      <c r="AD51" s="5"/>
      <c r="AE51" s="5"/>
      <c r="AH51" s="2"/>
      <c r="AL51" s="2"/>
      <c r="AM51" s="72"/>
      <c r="AO51" s="5"/>
      <c r="AP51" s="2"/>
      <c r="AQ51" s="72"/>
      <c r="AR51" s="5"/>
      <c r="AS51" s="5"/>
      <c r="AT51" s="28"/>
      <c r="AU51" s="28"/>
      <c r="AV51" s="28"/>
    </row>
    <row r="52" spans="1:48" x14ac:dyDescent="0.2">
      <c r="A52" s="2">
        <v>42036</v>
      </c>
      <c r="B52">
        <f t="shared" si="1"/>
        <v>2015</v>
      </c>
      <c r="C52">
        <f t="shared" si="2"/>
        <v>2</v>
      </c>
      <c r="D52" s="54">
        <v>17783706.236144584</v>
      </c>
      <c r="E52" s="54">
        <v>555044.66445330705</v>
      </c>
      <c r="F52" s="54">
        <v>18338750.900597889</v>
      </c>
      <c r="G52" s="126">
        <v>632.80000000000007</v>
      </c>
      <c r="H52" s="126">
        <v>0</v>
      </c>
      <c r="I52" s="124">
        <f t="shared" ref="I52:J52" si="44">I40</f>
        <v>403.5</v>
      </c>
      <c r="J52" s="124">
        <f t="shared" si="44"/>
        <v>0</v>
      </c>
      <c r="K52" s="30">
        <v>28</v>
      </c>
      <c r="L52" s="30">
        <v>287</v>
      </c>
      <c r="M52" s="30">
        <v>3035.1</v>
      </c>
      <c r="N52" s="30">
        <v>0</v>
      </c>
      <c r="O52" s="30">
        <f t="shared" si="26"/>
        <v>17146764.419401765</v>
      </c>
      <c r="P52" s="30">
        <f t="shared" si="3"/>
        <v>16591719.754948458</v>
      </c>
      <c r="Q52" s="49">
        <f t="shared" si="27"/>
        <v>-1191986.4811961241</v>
      </c>
      <c r="R52" s="48">
        <f t="shared" si="5"/>
        <v>6.4998237211306598E-2</v>
      </c>
      <c r="AC52" s="2"/>
      <c r="AD52" s="5"/>
      <c r="AE52" s="5"/>
      <c r="AH52" s="2"/>
      <c r="AL52" s="2"/>
      <c r="AM52" s="72"/>
      <c r="AO52" s="5"/>
      <c r="AP52" s="2"/>
      <c r="AQ52" s="72"/>
      <c r="AR52" s="5"/>
      <c r="AS52" s="5"/>
      <c r="AT52" s="28"/>
      <c r="AU52" s="28"/>
      <c r="AV52" s="28"/>
    </row>
    <row r="53" spans="1:48" x14ac:dyDescent="0.2">
      <c r="A53" s="2">
        <v>42064</v>
      </c>
      <c r="B53">
        <f t="shared" si="1"/>
        <v>2015</v>
      </c>
      <c r="C53">
        <f t="shared" si="2"/>
        <v>3</v>
      </c>
      <c r="D53" s="54">
        <v>18252320.722891562</v>
      </c>
      <c r="E53" s="54">
        <v>555044.66445330705</v>
      </c>
      <c r="F53" s="54">
        <v>18807365.387344867</v>
      </c>
      <c r="G53" s="126">
        <v>367.49999999999994</v>
      </c>
      <c r="H53" s="126">
        <v>0</v>
      </c>
      <c r="I53" s="124">
        <f t="shared" ref="I53:J53" si="45">I41</f>
        <v>291.06</v>
      </c>
      <c r="J53" s="124">
        <f t="shared" si="45"/>
        <v>2.8099999999999996</v>
      </c>
      <c r="K53" s="30">
        <v>31</v>
      </c>
      <c r="L53" s="30">
        <v>288</v>
      </c>
      <c r="M53" s="30">
        <v>3054.2</v>
      </c>
      <c r="N53" s="30">
        <v>0</v>
      </c>
      <c r="O53" s="30">
        <f t="shared" si="26"/>
        <v>18428626.878666639</v>
      </c>
      <c r="P53" s="30">
        <f t="shared" si="3"/>
        <v>17873582.214213334</v>
      </c>
      <c r="Q53" s="49">
        <f t="shared" si="27"/>
        <v>-378738.50867822766</v>
      </c>
      <c r="R53" s="48">
        <f t="shared" si="5"/>
        <v>2.0137775859508419E-2</v>
      </c>
      <c r="AC53" s="2"/>
      <c r="AD53" s="5"/>
      <c r="AE53" s="5"/>
      <c r="AH53" s="2"/>
      <c r="AL53" s="2"/>
      <c r="AM53" s="72"/>
      <c r="AO53" s="5"/>
      <c r="AP53" s="2"/>
      <c r="AQ53" s="72"/>
      <c r="AR53" s="5"/>
      <c r="AS53" s="5"/>
      <c r="AT53" s="28"/>
      <c r="AU53" s="28"/>
      <c r="AV53" s="28"/>
    </row>
    <row r="54" spans="1:48" x14ac:dyDescent="0.2">
      <c r="A54" s="2">
        <v>42095</v>
      </c>
      <c r="B54">
        <f t="shared" si="1"/>
        <v>2015</v>
      </c>
      <c r="C54">
        <f t="shared" si="2"/>
        <v>4</v>
      </c>
      <c r="D54" s="54">
        <v>16479411.932530126</v>
      </c>
      <c r="E54" s="54">
        <v>555044.66445330705</v>
      </c>
      <c r="F54" s="54">
        <v>17034456.596983433</v>
      </c>
      <c r="G54" s="126">
        <v>94.399999999999991</v>
      </c>
      <c r="H54" s="126">
        <v>7.1999999999999993</v>
      </c>
      <c r="I54" s="124">
        <f t="shared" ref="I54:J54" si="46">I42</f>
        <v>120.71999999999998</v>
      </c>
      <c r="J54" s="124">
        <f t="shared" si="46"/>
        <v>6.58</v>
      </c>
      <c r="K54" s="30">
        <v>30</v>
      </c>
      <c r="L54" s="30">
        <v>290</v>
      </c>
      <c r="M54" s="30">
        <v>3066.7</v>
      </c>
      <c r="N54" s="30">
        <v>0</v>
      </c>
      <c r="O54" s="30">
        <f t="shared" si="26"/>
        <v>17167168.298042975</v>
      </c>
      <c r="P54" s="30">
        <f t="shared" si="3"/>
        <v>16612123.633589668</v>
      </c>
      <c r="Q54" s="49">
        <f t="shared" si="27"/>
        <v>132711.7010595426</v>
      </c>
      <c r="R54" s="48">
        <f t="shared" si="5"/>
        <v>7.7907798410806958E-3</v>
      </c>
      <c r="AC54" s="2"/>
      <c r="AD54" s="5"/>
      <c r="AE54" s="5"/>
      <c r="AH54" s="2"/>
      <c r="AL54" s="2"/>
      <c r="AM54" s="72"/>
      <c r="AO54" s="5"/>
      <c r="AP54" s="2"/>
      <c r="AQ54" s="72"/>
      <c r="AR54" s="5"/>
      <c r="AS54" s="5"/>
      <c r="AT54" s="28"/>
      <c r="AU54" s="28"/>
      <c r="AV54" s="28"/>
    </row>
    <row r="55" spans="1:48" x14ac:dyDescent="0.2">
      <c r="A55" s="2">
        <v>42125</v>
      </c>
      <c r="B55">
        <f t="shared" si="1"/>
        <v>2015</v>
      </c>
      <c r="C55">
        <f t="shared" si="2"/>
        <v>5</v>
      </c>
      <c r="D55" s="54">
        <v>16982291.479518067</v>
      </c>
      <c r="E55" s="54">
        <v>555044.66445330705</v>
      </c>
      <c r="F55" s="54">
        <v>17537336.143971372</v>
      </c>
      <c r="G55" s="126">
        <v>1.5</v>
      </c>
      <c r="H55" s="126">
        <v>142.1</v>
      </c>
      <c r="I55" s="124">
        <f t="shared" ref="I55:J55" si="47">I43</f>
        <v>16.330000000000002</v>
      </c>
      <c r="J55" s="124">
        <f t="shared" si="47"/>
        <v>107.25</v>
      </c>
      <c r="K55" s="30">
        <v>31</v>
      </c>
      <c r="L55" s="30">
        <v>291</v>
      </c>
      <c r="M55" s="30">
        <v>3084</v>
      </c>
      <c r="N55" s="30">
        <v>0</v>
      </c>
      <c r="O55" s="30">
        <f t="shared" si="26"/>
        <v>17383438.537970703</v>
      </c>
      <c r="P55" s="30">
        <f t="shared" si="3"/>
        <v>16828393.873517398</v>
      </c>
      <c r="Q55" s="49">
        <f t="shared" si="27"/>
        <v>-153897.6060006693</v>
      </c>
      <c r="R55" s="48">
        <f t="shared" si="5"/>
        <v>8.7754265948522103E-3</v>
      </c>
      <c r="AC55" s="2"/>
      <c r="AD55" s="5"/>
      <c r="AE55" s="5"/>
      <c r="AH55" s="2"/>
      <c r="AL55" s="2"/>
      <c r="AM55" s="72"/>
      <c r="AO55" s="5"/>
      <c r="AP55" s="2"/>
      <c r="AQ55" s="72"/>
      <c r="AR55" s="5"/>
      <c r="AS55" s="5"/>
      <c r="AT55" s="28"/>
      <c r="AU55" s="28"/>
      <c r="AV55" s="28"/>
    </row>
    <row r="56" spans="1:48" x14ac:dyDescent="0.2">
      <c r="A56" s="2">
        <v>42156</v>
      </c>
      <c r="B56">
        <f t="shared" si="1"/>
        <v>2015</v>
      </c>
      <c r="C56">
        <f t="shared" si="2"/>
        <v>6</v>
      </c>
      <c r="D56" s="54">
        <v>16646153.06024096</v>
      </c>
      <c r="E56" s="54">
        <v>555044.66445330705</v>
      </c>
      <c r="F56" s="54">
        <v>17201197.724694267</v>
      </c>
      <c r="G56" s="126">
        <v>0</v>
      </c>
      <c r="H56" s="126">
        <v>178.69999999999996</v>
      </c>
      <c r="I56" s="124">
        <f t="shared" ref="I56:J56" si="48">I44</f>
        <v>0</v>
      </c>
      <c r="J56" s="124">
        <f t="shared" si="48"/>
        <v>230.10000000000005</v>
      </c>
      <c r="K56" s="30">
        <v>30</v>
      </c>
      <c r="L56" s="30">
        <v>291</v>
      </c>
      <c r="M56" s="30">
        <v>3102.9</v>
      </c>
      <c r="N56" s="30">
        <v>0</v>
      </c>
      <c r="O56" s="30">
        <f t="shared" si="26"/>
        <v>17541882.306038842</v>
      </c>
      <c r="P56" s="30">
        <f t="shared" si="3"/>
        <v>16986837.641585536</v>
      </c>
      <c r="Q56" s="49">
        <f t="shared" si="27"/>
        <v>340684.58134457469</v>
      </c>
      <c r="R56" s="48">
        <f t="shared" si="5"/>
        <v>1.9805863916992444E-2</v>
      </c>
      <c r="AC56" s="2"/>
      <c r="AD56" s="5"/>
      <c r="AE56" s="5"/>
      <c r="AH56" s="2"/>
      <c r="AL56" s="2"/>
      <c r="AM56" s="72"/>
      <c r="AO56" s="5"/>
      <c r="AP56" s="2"/>
      <c r="AQ56" s="72"/>
      <c r="AR56" s="5"/>
      <c r="AS56" s="5"/>
      <c r="AT56" s="28"/>
      <c r="AU56" s="28"/>
      <c r="AV56" s="28"/>
    </row>
    <row r="57" spans="1:48" x14ac:dyDescent="0.2">
      <c r="A57" s="2">
        <v>42186</v>
      </c>
      <c r="B57">
        <f t="shared" si="1"/>
        <v>2015</v>
      </c>
      <c r="C57">
        <f t="shared" si="2"/>
        <v>7</v>
      </c>
      <c r="D57" s="54">
        <v>17538166.997590359</v>
      </c>
      <c r="E57" s="54">
        <v>555044.66445330705</v>
      </c>
      <c r="F57" s="54">
        <v>18093211.662043665</v>
      </c>
      <c r="G57" s="126">
        <v>0</v>
      </c>
      <c r="H57" s="126">
        <v>296.3</v>
      </c>
      <c r="I57" s="124">
        <f t="shared" ref="I57:J57" si="49">I45</f>
        <v>0</v>
      </c>
      <c r="J57" s="124">
        <f t="shared" si="49"/>
        <v>331.41</v>
      </c>
      <c r="K57" s="30">
        <v>31</v>
      </c>
      <c r="L57" s="30">
        <v>292</v>
      </c>
      <c r="M57" s="30">
        <v>3132</v>
      </c>
      <c r="N57" s="30">
        <v>0</v>
      </c>
      <c r="O57" s="30">
        <f t="shared" si="26"/>
        <v>18325924.417899851</v>
      </c>
      <c r="P57" s="30">
        <f t="shared" si="3"/>
        <v>17770879.753446545</v>
      </c>
      <c r="Q57" s="49">
        <f t="shared" si="27"/>
        <v>232712.75585618615</v>
      </c>
      <c r="R57" s="48">
        <f t="shared" si="5"/>
        <v>1.2861882135849659E-2</v>
      </c>
      <c r="AC57" s="2"/>
      <c r="AD57" s="5"/>
      <c r="AE57" s="5"/>
      <c r="AH57" s="2"/>
      <c r="AL57" s="2"/>
      <c r="AM57" s="72"/>
      <c r="AO57" s="5"/>
      <c r="AP57" s="2"/>
      <c r="AQ57" s="72"/>
      <c r="AR57" s="5"/>
      <c r="AS57" s="5"/>
      <c r="AT57" s="28"/>
      <c r="AU57" s="28"/>
      <c r="AV57" s="28"/>
    </row>
    <row r="58" spans="1:48" x14ac:dyDescent="0.2">
      <c r="A58" s="2">
        <v>42217</v>
      </c>
      <c r="B58">
        <f t="shared" si="1"/>
        <v>2015</v>
      </c>
      <c r="C58">
        <f t="shared" si="2"/>
        <v>8</v>
      </c>
      <c r="D58" s="54">
        <v>17093829.031325299</v>
      </c>
      <c r="E58" s="54">
        <v>555044.66445330705</v>
      </c>
      <c r="F58" s="54">
        <v>17648873.695778605</v>
      </c>
      <c r="G58" s="126">
        <v>0</v>
      </c>
      <c r="H58" s="126">
        <v>270.19999999999993</v>
      </c>
      <c r="I58" s="124">
        <f t="shared" ref="I58:J58" si="50">I46</f>
        <v>0</v>
      </c>
      <c r="J58" s="124">
        <f t="shared" si="50"/>
        <v>304.46000000000004</v>
      </c>
      <c r="K58" s="30">
        <v>31</v>
      </c>
      <c r="L58" s="30">
        <v>292</v>
      </c>
      <c r="M58" s="30">
        <v>3151.5</v>
      </c>
      <c r="N58" s="30">
        <v>0</v>
      </c>
      <c r="O58" s="30">
        <f t="shared" si="26"/>
        <v>17875952.562643684</v>
      </c>
      <c r="P58" s="30">
        <f t="shared" si="3"/>
        <v>17320907.898190379</v>
      </c>
      <c r="Q58" s="49">
        <f t="shared" si="27"/>
        <v>227078.86686507985</v>
      </c>
      <c r="R58" s="48">
        <f t="shared" si="5"/>
        <v>1.2866479231442081E-2</v>
      </c>
      <c r="AC58" s="2"/>
      <c r="AD58" s="5"/>
      <c r="AE58" s="5"/>
      <c r="AH58" s="2"/>
      <c r="AL58" s="2"/>
      <c r="AM58" s="72"/>
      <c r="AO58" s="5"/>
      <c r="AP58" s="2"/>
      <c r="AQ58" s="72"/>
      <c r="AR58" s="5"/>
      <c r="AS58" s="5"/>
      <c r="AT58" s="28"/>
      <c r="AU58" s="28"/>
      <c r="AV58" s="28"/>
    </row>
    <row r="59" spans="1:48" x14ac:dyDescent="0.2">
      <c r="A59" s="2">
        <v>42248</v>
      </c>
      <c r="B59">
        <f t="shared" si="1"/>
        <v>2015</v>
      </c>
      <c r="C59">
        <f t="shared" si="2"/>
        <v>9</v>
      </c>
      <c r="D59" s="54">
        <v>17292395.55662651</v>
      </c>
      <c r="E59" s="54">
        <v>555044.66445330705</v>
      </c>
      <c r="F59" s="54">
        <v>17847440.221079815</v>
      </c>
      <c r="G59" s="126">
        <v>0</v>
      </c>
      <c r="H59" s="126">
        <v>230.8</v>
      </c>
      <c r="I59" s="124">
        <f t="shared" ref="I59:J59" si="51">I47</f>
        <v>0.24999999999999983</v>
      </c>
      <c r="J59" s="124">
        <f t="shared" si="51"/>
        <v>176.51</v>
      </c>
      <c r="K59" s="30">
        <v>30</v>
      </c>
      <c r="L59" s="30">
        <v>292</v>
      </c>
      <c r="M59" s="30">
        <v>3155.1</v>
      </c>
      <c r="N59" s="30">
        <v>0</v>
      </c>
      <c r="O59" s="30">
        <f t="shared" si="26"/>
        <v>17488900.009927358</v>
      </c>
      <c r="P59" s="30">
        <f t="shared" si="3"/>
        <v>16933855.345474053</v>
      </c>
      <c r="Q59" s="49">
        <f t="shared" si="27"/>
        <v>-358540.2111524567</v>
      </c>
      <c r="R59" s="48">
        <f t="shared" si="5"/>
        <v>2.0089167225728021E-2</v>
      </c>
      <c r="AC59" s="2"/>
      <c r="AD59" s="5"/>
      <c r="AE59" s="5"/>
      <c r="AH59" s="2"/>
      <c r="AL59" s="2"/>
      <c r="AM59" s="72"/>
      <c r="AO59" s="5"/>
      <c r="AP59" s="2"/>
      <c r="AQ59" s="72"/>
      <c r="AR59" s="5"/>
      <c r="AS59" s="5"/>
      <c r="AT59" s="28"/>
      <c r="AU59" s="28"/>
      <c r="AV59" s="28"/>
    </row>
    <row r="60" spans="1:48" x14ac:dyDescent="0.2">
      <c r="A60" s="2">
        <v>42278</v>
      </c>
      <c r="B60">
        <f t="shared" si="1"/>
        <v>2015</v>
      </c>
      <c r="C60">
        <f t="shared" si="2"/>
        <v>10</v>
      </c>
      <c r="D60" s="54">
        <v>16272895.431325302</v>
      </c>
      <c r="E60" s="54">
        <v>555044.66445330705</v>
      </c>
      <c r="F60" s="54">
        <v>16827940.095778607</v>
      </c>
      <c r="G60" s="126">
        <v>48.199999999999989</v>
      </c>
      <c r="H60" s="126">
        <v>21.3</v>
      </c>
      <c r="I60" s="124">
        <f t="shared" ref="I60:J60" si="52">I48</f>
        <v>44.309999999999995</v>
      </c>
      <c r="J60" s="124">
        <f t="shared" si="52"/>
        <v>43.36</v>
      </c>
      <c r="K60" s="30">
        <v>31</v>
      </c>
      <c r="L60" s="30">
        <v>292</v>
      </c>
      <c r="M60" s="30">
        <v>3149.2</v>
      </c>
      <c r="N60" s="30">
        <v>0</v>
      </c>
      <c r="O60" s="30">
        <f t="shared" si="26"/>
        <v>16953934.421984717</v>
      </c>
      <c r="P60" s="30">
        <f t="shared" si="3"/>
        <v>16398889.75753141</v>
      </c>
      <c r="Q60" s="49">
        <f t="shared" si="27"/>
        <v>125994.32620611042</v>
      </c>
      <c r="R60" s="48">
        <f t="shared" si="5"/>
        <v>7.4872102877117366E-3</v>
      </c>
      <c r="AC60" s="2"/>
      <c r="AD60" s="5"/>
      <c r="AE60" s="5"/>
      <c r="AH60" s="2"/>
      <c r="AL60" s="2"/>
      <c r="AM60" s="72"/>
      <c r="AO60" s="5"/>
      <c r="AP60" s="2"/>
      <c r="AQ60" s="72"/>
      <c r="AR60" s="5"/>
      <c r="AS60" s="5"/>
      <c r="AT60" s="28"/>
      <c r="AU60" s="28"/>
      <c r="AV60" s="28"/>
    </row>
    <row r="61" spans="1:48" x14ac:dyDescent="0.2">
      <c r="A61" s="2">
        <v>42309</v>
      </c>
      <c r="B61">
        <f t="shared" si="1"/>
        <v>2015</v>
      </c>
      <c r="C61">
        <f t="shared" si="2"/>
        <v>11</v>
      </c>
      <c r="D61" s="54">
        <v>16129527.980722889</v>
      </c>
      <c r="E61" s="54">
        <v>555044.66445330705</v>
      </c>
      <c r="F61" s="54">
        <v>16684572.645176196</v>
      </c>
      <c r="G61" s="126">
        <v>121.9</v>
      </c>
      <c r="H61" s="126">
        <v>7.3999999999999986</v>
      </c>
      <c r="I61" s="124">
        <f t="shared" ref="I61:J61" si="53">I49</f>
        <v>193.95999999999998</v>
      </c>
      <c r="J61" s="124">
        <f t="shared" si="53"/>
        <v>2.7399999999999998</v>
      </c>
      <c r="K61" s="30">
        <v>30</v>
      </c>
      <c r="L61" s="30">
        <v>293</v>
      </c>
      <c r="M61" s="30">
        <v>3140.6</v>
      </c>
      <c r="N61" s="30">
        <v>0</v>
      </c>
      <c r="O61" s="30">
        <f t="shared" si="26"/>
        <v>17028280.294979766</v>
      </c>
      <c r="P61" s="30">
        <f t="shared" si="3"/>
        <v>16473235.630526459</v>
      </c>
      <c r="Q61" s="49">
        <f t="shared" si="27"/>
        <v>343707.64980356954</v>
      </c>
      <c r="R61" s="48">
        <f t="shared" si="5"/>
        <v>2.0600326847624802E-2</v>
      </c>
      <c r="AC61" s="2"/>
      <c r="AD61" s="5"/>
      <c r="AE61" s="5"/>
      <c r="AO61" s="5"/>
      <c r="AP61" s="5"/>
      <c r="AQ61" s="5"/>
      <c r="AR61" s="5"/>
      <c r="AT61" s="28"/>
      <c r="AU61" s="28"/>
      <c r="AV61" s="28"/>
    </row>
    <row r="62" spans="1:48" x14ac:dyDescent="0.2">
      <c r="A62" s="2">
        <v>42339</v>
      </c>
      <c r="B62">
        <f t="shared" si="1"/>
        <v>2015</v>
      </c>
      <c r="C62">
        <f t="shared" si="2"/>
        <v>12</v>
      </c>
      <c r="D62" s="54">
        <v>16103160.144578312</v>
      </c>
      <c r="E62" s="54">
        <v>555044.66445330705</v>
      </c>
      <c r="F62" s="54">
        <v>16658204.809031619</v>
      </c>
      <c r="G62" s="126">
        <v>182</v>
      </c>
      <c r="H62" s="126">
        <v>0</v>
      </c>
      <c r="I62" s="124">
        <f t="shared" ref="I62:J62" si="54">I50</f>
        <v>327.48000000000008</v>
      </c>
      <c r="J62" s="124">
        <f t="shared" si="54"/>
        <v>0</v>
      </c>
      <c r="K62" s="30">
        <v>31</v>
      </c>
      <c r="L62" s="30">
        <v>293</v>
      </c>
      <c r="M62" s="30">
        <v>3147.5</v>
      </c>
      <c r="N62" s="30">
        <v>0</v>
      </c>
      <c r="O62" s="30">
        <f t="shared" si="26"/>
        <v>17414463.829024695</v>
      </c>
      <c r="P62" s="30">
        <f t="shared" si="3"/>
        <v>16859419.16457139</v>
      </c>
      <c r="Q62" s="49">
        <f t="shared" si="27"/>
        <v>756259.0199930761</v>
      </c>
      <c r="R62" s="48">
        <f t="shared" si="5"/>
        <v>4.5398590584205888E-2</v>
      </c>
    </row>
    <row r="63" spans="1:48" x14ac:dyDescent="0.2">
      <c r="A63" s="2">
        <v>42370</v>
      </c>
      <c r="B63">
        <f t="shared" si="1"/>
        <v>2016</v>
      </c>
      <c r="C63">
        <f t="shared" si="2"/>
        <v>1</v>
      </c>
      <c r="D63" s="54">
        <v>17735240.327710841</v>
      </c>
      <c r="E63" s="54">
        <v>657746.90431909065</v>
      </c>
      <c r="F63" s="54">
        <v>18392987.23202993</v>
      </c>
      <c r="G63" s="126">
        <v>422.40000000000009</v>
      </c>
      <c r="H63" s="126">
        <v>0</v>
      </c>
      <c r="I63" s="124">
        <f t="shared" ref="I63:J63" si="55">I51</f>
        <v>439.5</v>
      </c>
      <c r="J63" s="124">
        <f t="shared" si="55"/>
        <v>0</v>
      </c>
      <c r="K63" s="30">
        <v>31</v>
      </c>
      <c r="L63" s="30">
        <v>292</v>
      </c>
      <c r="M63" s="30">
        <v>3154.2</v>
      </c>
      <c r="N63" s="30">
        <v>0</v>
      </c>
      <c r="O63" s="30">
        <f t="shared" si="26"/>
        <v>18481879.376942504</v>
      </c>
      <c r="P63" s="30">
        <f t="shared" si="3"/>
        <v>17824132.472623415</v>
      </c>
      <c r="Q63" s="49">
        <f t="shared" si="27"/>
        <v>88892.14491257444</v>
      </c>
      <c r="R63" s="48">
        <f t="shared" si="5"/>
        <v>4.8329368030972054E-3</v>
      </c>
    </row>
    <row r="64" spans="1:48" x14ac:dyDescent="0.2">
      <c r="A64" s="2">
        <v>42401</v>
      </c>
      <c r="B64">
        <f t="shared" si="1"/>
        <v>2016</v>
      </c>
      <c r="C64">
        <f t="shared" si="2"/>
        <v>2</v>
      </c>
      <c r="D64" s="54">
        <v>16845185.012048196</v>
      </c>
      <c r="E64" s="54">
        <v>657746.90431909065</v>
      </c>
      <c r="F64" s="54">
        <v>17502931.916367285</v>
      </c>
      <c r="G64" s="126">
        <v>356.40000000000003</v>
      </c>
      <c r="H64" s="126">
        <v>0</v>
      </c>
      <c r="I64" s="124">
        <f t="shared" ref="I64:J64" si="56">I52</f>
        <v>403.5</v>
      </c>
      <c r="J64" s="124">
        <f t="shared" si="56"/>
        <v>0</v>
      </c>
      <c r="K64" s="30">
        <v>29</v>
      </c>
      <c r="L64" s="30">
        <v>290</v>
      </c>
      <c r="M64" s="30">
        <v>3149.3</v>
      </c>
      <c r="N64" s="30">
        <v>0</v>
      </c>
      <c r="O64" s="30">
        <f t="shared" si="26"/>
        <v>17747775.192705434</v>
      </c>
      <c r="P64" s="30">
        <f t="shared" si="3"/>
        <v>17090028.288386345</v>
      </c>
      <c r="Q64" s="49">
        <f t="shared" si="27"/>
        <v>244843.27633814886</v>
      </c>
      <c r="R64" s="48">
        <f t="shared" si="5"/>
        <v>1.3988700722145402E-2</v>
      </c>
    </row>
    <row r="65" spans="1:18" x14ac:dyDescent="0.2">
      <c r="A65" s="2">
        <v>42430</v>
      </c>
      <c r="B65">
        <f t="shared" si="1"/>
        <v>2016</v>
      </c>
      <c r="C65">
        <f t="shared" si="2"/>
        <v>3</v>
      </c>
      <c r="D65" s="54">
        <v>16957889.127710842</v>
      </c>
      <c r="E65" s="54">
        <v>657746.90431909065</v>
      </c>
      <c r="F65" s="54">
        <v>17615636.032029931</v>
      </c>
      <c r="G65" s="126">
        <v>232.90000000000003</v>
      </c>
      <c r="H65" s="126">
        <v>0.80000000000000071</v>
      </c>
      <c r="I65" s="124">
        <f t="shared" ref="I65:J65" si="57">I53</f>
        <v>291.06</v>
      </c>
      <c r="J65" s="124">
        <f t="shared" si="57"/>
        <v>2.8099999999999996</v>
      </c>
      <c r="K65" s="30">
        <v>31</v>
      </c>
      <c r="L65" s="30">
        <v>293</v>
      </c>
      <c r="M65" s="30">
        <v>3140</v>
      </c>
      <c r="N65" s="30">
        <v>0</v>
      </c>
      <c r="O65" s="30">
        <f t="shared" si="26"/>
        <v>17931295.782591432</v>
      </c>
      <c r="P65" s="30">
        <f t="shared" si="3"/>
        <v>17273548.878272343</v>
      </c>
      <c r="Q65" s="49">
        <f t="shared" si="27"/>
        <v>315659.75056150183</v>
      </c>
      <c r="R65" s="48">
        <f t="shared" si="5"/>
        <v>1.7919293404311268E-2</v>
      </c>
    </row>
    <row r="66" spans="1:18" x14ac:dyDescent="0.2">
      <c r="A66" s="2">
        <v>42461</v>
      </c>
      <c r="B66">
        <f t="shared" si="1"/>
        <v>2016</v>
      </c>
      <c r="C66">
        <f t="shared" si="2"/>
        <v>4</v>
      </c>
      <c r="D66" s="54">
        <v>16234178.226506023</v>
      </c>
      <c r="E66" s="54">
        <v>657746.90431909065</v>
      </c>
      <c r="F66" s="54">
        <v>16891925.130825114</v>
      </c>
      <c r="G66" s="126">
        <v>167.70000000000005</v>
      </c>
      <c r="H66" s="126">
        <v>4.9000000000000004</v>
      </c>
      <c r="I66" s="124">
        <f t="shared" ref="I66:J66" si="58">I54</f>
        <v>120.71999999999998</v>
      </c>
      <c r="J66" s="124">
        <f t="shared" si="58"/>
        <v>6.58</v>
      </c>
      <c r="K66" s="30">
        <v>30</v>
      </c>
      <c r="L66" s="30">
        <v>293</v>
      </c>
      <c r="M66" s="30">
        <v>3137.9</v>
      </c>
      <c r="N66" s="30">
        <v>0</v>
      </c>
      <c r="O66" s="30">
        <f t="shared" si="26"/>
        <v>16658840.874900972</v>
      </c>
      <c r="P66" s="30">
        <f t="shared" si="3"/>
        <v>16001093.970581882</v>
      </c>
      <c r="Q66" s="49">
        <f t="shared" si="27"/>
        <v>-233084.25592414103</v>
      </c>
      <c r="R66" s="48">
        <f t="shared" si="5"/>
        <v>1.3798560798662245E-2</v>
      </c>
    </row>
    <row r="67" spans="1:18" x14ac:dyDescent="0.2">
      <c r="A67" s="2">
        <v>42491</v>
      </c>
      <c r="B67">
        <f t="shared" si="1"/>
        <v>2016</v>
      </c>
      <c r="C67">
        <f t="shared" si="2"/>
        <v>5</v>
      </c>
      <c r="D67" s="54">
        <v>15945008.597590361</v>
      </c>
      <c r="E67" s="54">
        <v>657746.90431909065</v>
      </c>
      <c r="F67" s="54">
        <v>16602755.501909452</v>
      </c>
      <c r="G67" s="126">
        <v>12.600000000000001</v>
      </c>
      <c r="H67" s="126">
        <v>116.69999999999999</v>
      </c>
      <c r="I67" s="124">
        <f t="shared" ref="I67:J67" si="59">I55</f>
        <v>16.330000000000002</v>
      </c>
      <c r="J67" s="124">
        <f t="shared" si="59"/>
        <v>107.25</v>
      </c>
      <c r="K67" s="30">
        <v>31</v>
      </c>
      <c r="L67" s="30">
        <v>295</v>
      </c>
      <c r="M67" s="30">
        <v>3144.8</v>
      </c>
      <c r="N67" s="30">
        <v>0</v>
      </c>
      <c r="O67" s="30">
        <f t="shared" ref="O67:O98" si="60">F67+(I67-G67)*$T$11+(J67-H67)*$T$12</f>
        <v>16559509.836544981</v>
      </c>
      <c r="P67" s="30">
        <f t="shared" si="3"/>
        <v>15901762.93222589</v>
      </c>
      <c r="Q67" s="49">
        <f t="shared" ref="Q67:Q98" si="61">+O67-F67</f>
        <v>-43245.665364470333</v>
      </c>
      <c r="R67" s="48">
        <f t="shared" si="5"/>
        <v>2.6047281946359282E-3</v>
      </c>
    </row>
    <row r="68" spans="1:18" x14ac:dyDescent="0.2">
      <c r="A68" s="2">
        <v>42522</v>
      </c>
      <c r="B68">
        <f t="shared" ref="B68:B127" si="62">YEAR(A68)</f>
        <v>2016</v>
      </c>
      <c r="C68">
        <f t="shared" ref="C68:C127" si="63">MONTH(A68)</f>
        <v>6</v>
      </c>
      <c r="D68" s="54">
        <v>16837420.39518071</v>
      </c>
      <c r="E68" s="54">
        <v>657746.90431909065</v>
      </c>
      <c r="F68" s="54">
        <v>17495167.299499799</v>
      </c>
      <c r="G68" s="126">
        <v>0</v>
      </c>
      <c r="H68" s="126">
        <v>240.59999999999997</v>
      </c>
      <c r="I68" s="124">
        <f t="shared" ref="I68:J68" si="64">I56</f>
        <v>0</v>
      </c>
      <c r="J68" s="124">
        <f t="shared" si="64"/>
        <v>230.10000000000005</v>
      </c>
      <c r="K68" s="30">
        <v>30</v>
      </c>
      <c r="L68" s="30">
        <v>299</v>
      </c>
      <c r="M68" s="30">
        <v>3155.8</v>
      </c>
      <c r="N68" s="30">
        <v>0</v>
      </c>
      <c r="O68" s="30">
        <f t="shared" si="60"/>
        <v>17425572.200197894</v>
      </c>
      <c r="P68" s="30">
        <f t="shared" ref="P68:P99" si="65">O68-E68</f>
        <v>16767825.295878803</v>
      </c>
      <c r="Q68" s="49">
        <f t="shared" si="61"/>
        <v>-69595.09930190444</v>
      </c>
      <c r="R68" s="48">
        <f t="shared" ref="R68:R127" si="66">ABS(Q68/F68)</f>
        <v>3.9779613484401616E-3</v>
      </c>
    </row>
    <row r="69" spans="1:18" x14ac:dyDescent="0.2">
      <c r="A69" s="2">
        <v>42552</v>
      </c>
      <c r="B69">
        <f t="shared" si="62"/>
        <v>2016</v>
      </c>
      <c r="C69">
        <f t="shared" si="63"/>
        <v>7</v>
      </c>
      <c r="D69" s="54">
        <v>17715629.291566268</v>
      </c>
      <c r="E69" s="54">
        <v>657746.90431909065</v>
      </c>
      <c r="F69" s="54">
        <v>18373376.195885357</v>
      </c>
      <c r="G69" s="126">
        <v>0</v>
      </c>
      <c r="H69" s="126">
        <v>362.9</v>
      </c>
      <c r="I69" s="124">
        <f t="shared" ref="I69:J69" si="67">I57</f>
        <v>0</v>
      </c>
      <c r="J69" s="124">
        <f t="shared" si="67"/>
        <v>331.41</v>
      </c>
      <c r="K69" s="30">
        <v>31</v>
      </c>
      <c r="L69" s="30">
        <v>300</v>
      </c>
      <c r="M69" s="30">
        <v>3152.3</v>
      </c>
      <c r="N69" s="30">
        <v>0</v>
      </c>
      <c r="O69" s="30">
        <f t="shared" si="60"/>
        <v>18164657.179026589</v>
      </c>
      <c r="P69" s="30">
        <f t="shared" si="65"/>
        <v>17506910.2747075</v>
      </c>
      <c r="Q69" s="49">
        <f t="shared" si="61"/>
        <v>-208719.01685876772</v>
      </c>
      <c r="R69" s="48">
        <f t="shared" si="66"/>
        <v>1.1359861934656816E-2</v>
      </c>
    </row>
    <row r="70" spans="1:18" x14ac:dyDescent="0.2">
      <c r="A70" s="2">
        <v>42583</v>
      </c>
      <c r="B70">
        <f t="shared" si="62"/>
        <v>2016</v>
      </c>
      <c r="C70">
        <f t="shared" si="63"/>
        <v>8</v>
      </c>
      <c r="D70" s="54">
        <v>18536229.59036145</v>
      </c>
      <c r="E70" s="54">
        <v>657746.90431909065</v>
      </c>
      <c r="F70" s="54">
        <v>19193976.494680539</v>
      </c>
      <c r="G70" s="126">
        <v>0</v>
      </c>
      <c r="H70" s="126">
        <v>381.40000000000009</v>
      </c>
      <c r="I70" s="124">
        <f t="shared" ref="I70:J70" si="68">I58</f>
        <v>0</v>
      </c>
      <c r="J70" s="124">
        <f t="shared" si="68"/>
        <v>304.46000000000004</v>
      </c>
      <c r="K70" s="30">
        <v>31</v>
      </c>
      <c r="L70" s="30">
        <v>301</v>
      </c>
      <c r="M70" s="30">
        <v>3149.1</v>
      </c>
      <c r="N70" s="30">
        <v>0</v>
      </c>
      <c r="O70" s="30">
        <f t="shared" si="60"/>
        <v>18684010.119414948</v>
      </c>
      <c r="P70" s="30">
        <f t="shared" si="65"/>
        <v>18026263.215095859</v>
      </c>
      <c r="Q70" s="49">
        <f t="shared" si="61"/>
        <v>-509966.37526559085</v>
      </c>
      <c r="R70" s="48">
        <f t="shared" si="66"/>
        <v>2.6569084077336661E-2</v>
      </c>
    </row>
    <row r="71" spans="1:18" x14ac:dyDescent="0.2">
      <c r="A71" s="2">
        <v>42614</v>
      </c>
      <c r="B71">
        <f t="shared" si="62"/>
        <v>2016</v>
      </c>
      <c r="C71">
        <f t="shared" si="63"/>
        <v>9</v>
      </c>
      <c r="D71" s="54">
        <v>17232312.954216857</v>
      </c>
      <c r="E71" s="54">
        <v>657746.90431909065</v>
      </c>
      <c r="F71" s="54">
        <v>17890059.858535945</v>
      </c>
      <c r="G71" s="126">
        <v>0</v>
      </c>
      <c r="H71" s="126">
        <v>223.5</v>
      </c>
      <c r="I71" s="124">
        <f t="shared" ref="I71:J71" si="69">I59</f>
        <v>0.24999999999999983</v>
      </c>
      <c r="J71" s="124">
        <f t="shared" si="69"/>
        <v>176.51</v>
      </c>
      <c r="K71" s="30">
        <v>30</v>
      </c>
      <c r="L71" s="30">
        <v>300</v>
      </c>
      <c r="M71" s="30">
        <v>3140.2</v>
      </c>
      <c r="N71" s="30">
        <v>0</v>
      </c>
      <c r="O71" s="30">
        <f t="shared" si="60"/>
        <v>17579904.811660051</v>
      </c>
      <c r="P71" s="30">
        <f t="shared" si="65"/>
        <v>16922157.907340962</v>
      </c>
      <c r="Q71" s="49">
        <f t="shared" si="61"/>
        <v>-310155.04687589407</v>
      </c>
      <c r="R71" s="48">
        <f t="shared" si="66"/>
        <v>1.7336724937111306E-2</v>
      </c>
    </row>
    <row r="72" spans="1:18" x14ac:dyDescent="0.2">
      <c r="A72" s="2">
        <v>42644</v>
      </c>
      <c r="B72">
        <f t="shared" si="62"/>
        <v>2016</v>
      </c>
      <c r="C72">
        <f t="shared" si="63"/>
        <v>10</v>
      </c>
      <c r="D72" s="54">
        <v>16281343.142168675</v>
      </c>
      <c r="E72" s="54">
        <v>657746.90431909065</v>
      </c>
      <c r="F72" s="54">
        <v>16939090.046487764</v>
      </c>
      <c r="G72" s="126">
        <v>45.400000000000006</v>
      </c>
      <c r="H72" s="126">
        <v>69.3</v>
      </c>
      <c r="I72" s="124">
        <f t="shared" ref="I72:J72" si="70">I60</f>
        <v>44.309999999999995</v>
      </c>
      <c r="J72" s="124">
        <f t="shared" si="70"/>
        <v>43.36</v>
      </c>
      <c r="K72" s="30">
        <v>31</v>
      </c>
      <c r="L72" s="30">
        <v>302</v>
      </c>
      <c r="M72" s="30">
        <v>3134.2</v>
      </c>
      <c r="N72" s="30">
        <v>0</v>
      </c>
      <c r="O72" s="30">
        <f t="shared" si="60"/>
        <v>16761490.78624678</v>
      </c>
      <c r="P72" s="30">
        <f t="shared" si="65"/>
        <v>16103743.88192769</v>
      </c>
      <c r="Q72" s="49">
        <f t="shared" si="61"/>
        <v>-177599.26024098322</v>
      </c>
      <c r="R72" s="48">
        <f t="shared" si="66"/>
        <v>1.0484580916305332E-2</v>
      </c>
    </row>
    <row r="73" spans="1:18" x14ac:dyDescent="0.2">
      <c r="A73" s="2">
        <v>42675</v>
      </c>
      <c r="B73">
        <f t="shared" si="62"/>
        <v>2016</v>
      </c>
      <c r="C73">
        <f t="shared" si="63"/>
        <v>11</v>
      </c>
      <c r="D73" s="54">
        <v>16390339.113253012</v>
      </c>
      <c r="E73" s="54">
        <v>657746.90431909065</v>
      </c>
      <c r="F73" s="54">
        <v>17048086.017572101</v>
      </c>
      <c r="G73" s="126">
        <v>108.59999999999997</v>
      </c>
      <c r="H73" s="126">
        <v>3.0999999999999996</v>
      </c>
      <c r="I73" s="124">
        <f t="shared" ref="I73:J73" si="71">I61</f>
        <v>193.95999999999998</v>
      </c>
      <c r="J73" s="124">
        <f t="shared" si="71"/>
        <v>2.7399999999999998</v>
      </c>
      <c r="K73" s="30">
        <v>30</v>
      </c>
      <c r="L73" s="30">
        <v>303</v>
      </c>
      <c r="M73" s="30">
        <v>3130.5</v>
      </c>
      <c r="N73" s="30">
        <v>0</v>
      </c>
      <c r="O73" s="30">
        <f t="shared" si="60"/>
        <v>17489432.85249798</v>
      </c>
      <c r="P73" s="30">
        <f t="shared" si="65"/>
        <v>16831685.948178891</v>
      </c>
      <c r="Q73" s="49">
        <f t="shared" si="61"/>
        <v>441346.83492587879</v>
      </c>
      <c r="R73" s="48">
        <f t="shared" si="66"/>
        <v>2.5888351013185061E-2</v>
      </c>
    </row>
    <row r="74" spans="1:18" x14ac:dyDescent="0.2">
      <c r="A74" s="2">
        <v>42705</v>
      </c>
      <c r="B74">
        <f t="shared" si="62"/>
        <v>2016</v>
      </c>
      <c r="C74">
        <f t="shared" si="63"/>
        <v>12</v>
      </c>
      <c r="D74" s="54">
        <v>18004813.812048193</v>
      </c>
      <c r="E74" s="54">
        <v>657746.90431909065</v>
      </c>
      <c r="F74" s="54">
        <v>18662560.716367282</v>
      </c>
      <c r="G74" s="126">
        <v>359.99999999999994</v>
      </c>
      <c r="H74" s="126">
        <v>0</v>
      </c>
      <c r="I74" s="124">
        <f t="shared" ref="I74:J74" si="72">I62</f>
        <v>327.48000000000008</v>
      </c>
      <c r="J74" s="124">
        <f t="shared" si="72"/>
        <v>0</v>
      </c>
      <c r="K74" s="30">
        <v>31</v>
      </c>
      <c r="L74" s="30">
        <v>304</v>
      </c>
      <c r="M74" s="30">
        <v>3127.9</v>
      </c>
      <c r="N74" s="30">
        <v>0</v>
      </c>
      <c r="O74" s="30">
        <f t="shared" si="60"/>
        <v>18493509.689901963</v>
      </c>
      <c r="P74" s="30">
        <f t="shared" si="65"/>
        <v>17835762.785582874</v>
      </c>
      <c r="Q74" s="49">
        <f t="shared" si="61"/>
        <v>-169051.0264653191</v>
      </c>
      <c r="R74" s="48">
        <f t="shared" si="66"/>
        <v>9.05829746702763E-3</v>
      </c>
    </row>
    <row r="75" spans="1:18" x14ac:dyDescent="0.2">
      <c r="A75" s="2">
        <v>42736</v>
      </c>
      <c r="B75">
        <f t="shared" si="62"/>
        <v>2017</v>
      </c>
      <c r="C75">
        <f t="shared" si="63"/>
        <v>1</v>
      </c>
      <c r="D75" s="54">
        <v>18633488.665060241</v>
      </c>
      <c r="E75" s="54">
        <v>1025745.4165349469</v>
      </c>
      <c r="F75" s="54">
        <v>19659234.081595186</v>
      </c>
      <c r="G75" s="126">
        <v>360.90000000000003</v>
      </c>
      <c r="H75" s="126">
        <v>0</v>
      </c>
      <c r="I75" s="124">
        <f t="shared" ref="I75:J75" si="73">I63</f>
        <v>439.5</v>
      </c>
      <c r="J75" s="124">
        <f t="shared" si="73"/>
        <v>0</v>
      </c>
      <c r="K75" s="30">
        <v>31</v>
      </c>
      <c r="L75" s="30">
        <v>304</v>
      </c>
      <c r="M75" s="30">
        <v>3136.5</v>
      </c>
      <c r="N75" s="30">
        <v>0</v>
      </c>
      <c r="O75" s="30">
        <f t="shared" si="60"/>
        <v>20067826.045930184</v>
      </c>
      <c r="P75" s="30">
        <f t="shared" si="65"/>
        <v>19042080.629395239</v>
      </c>
      <c r="Q75" s="49">
        <f t="shared" si="61"/>
        <v>408591.96433499828</v>
      </c>
      <c r="R75" s="48">
        <f t="shared" si="66"/>
        <v>2.0783717343165406E-2</v>
      </c>
    </row>
    <row r="76" spans="1:18" x14ac:dyDescent="0.2">
      <c r="A76" s="2">
        <v>42767</v>
      </c>
      <c r="B76">
        <f t="shared" si="62"/>
        <v>2017</v>
      </c>
      <c r="C76">
        <f t="shared" si="63"/>
        <v>2</v>
      </c>
      <c r="D76" s="54">
        <v>16411229.214457829</v>
      </c>
      <c r="E76" s="54">
        <v>1025745.4165349469</v>
      </c>
      <c r="F76" s="54">
        <v>17436974.630992774</v>
      </c>
      <c r="G76" s="126">
        <v>287.3</v>
      </c>
      <c r="H76" s="126">
        <v>0</v>
      </c>
      <c r="I76" s="124">
        <f t="shared" ref="I76:J76" si="74">I64</f>
        <v>403.5</v>
      </c>
      <c r="J76" s="124">
        <f t="shared" si="74"/>
        <v>0</v>
      </c>
      <c r="K76" s="30">
        <v>28</v>
      </c>
      <c r="L76" s="30">
        <v>306</v>
      </c>
      <c r="M76" s="30">
        <v>3152.5</v>
      </c>
      <c r="N76" s="30">
        <v>0</v>
      </c>
      <c r="O76" s="30">
        <f t="shared" si="60"/>
        <v>18041025.346714489</v>
      </c>
      <c r="P76" s="30">
        <f t="shared" si="65"/>
        <v>17015279.930179544</v>
      </c>
      <c r="Q76" s="49">
        <f t="shared" si="61"/>
        <v>604050.71572171524</v>
      </c>
      <c r="R76" s="48">
        <f t="shared" si="66"/>
        <v>3.46419449763989E-2</v>
      </c>
    </row>
    <row r="77" spans="1:18" x14ac:dyDescent="0.2">
      <c r="A77" s="2">
        <v>42795</v>
      </c>
      <c r="B77">
        <f t="shared" si="62"/>
        <v>2017</v>
      </c>
      <c r="C77">
        <f t="shared" si="63"/>
        <v>3</v>
      </c>
      <c r="D77" s="54">
        <v>18608676.597590368</v>
      </c>
      <c r="E77" s="54">
        <v>1025745.4165349469</v>
      </c>
      <c r="F77" s="54">
        <v>19634422.014125314</v>
      </c>
      <c r="G77" s="126">
        <v>327.10000000000002</v>
      </c>
      <c r="H77" s="126">
        <v>0</v>
      </c>
      <c r="I77" s="124">
        <f t="shared" ref="I77:J77" si="75">I65</f>
        <v>291.06</v>
      </c>
      <c r="J77" s="124">
        <f t="shared" si="75"/>
        <v>2.8099999999999996</v>
      </c>
      <c r="K77" s="30">
        <v>31</v>
      </c>
      <c r="L77" s="30">
        <v>307</v>
      </c>
      <c r="M77" s="30">
        <v>3168.5</v>
      </c>
      <c r="N77" s="30">
        <v>0</v>
      </c>
      <c r="O77" s="30">
        <f t="shared" si="60"/>
        <v>19465697.695766855</v>
      </c>
      <c r="P77" s="30">
        <f t="shared" si="65"/>
        <v>18439952.27923191</v>
      </c>
      <c r="Q77" s="49">
        <f t="shared" si="61"/>
        <v>-168724.31835845858</v>
      </c>
      <c r="R77" s="48">
        <f t="shared" si="66"/>
        <v>8.5932918339575084E-3</v>
      </c>
    </row>
    <row r="78" spans="1:18" x14ac:dyDescent="0.2">
      <c r="A78" s="2">
        <v>42826</v>
      </c>
      <c r="B78">
        <f t="shared" si="62"/>
        <v>2017</v>
      </c>
      <c r="C78">
        <f t="shared" si="63"/>
        <v>4</v>
      </c>
      <c r="D78" s="54">
        <v>15988040.308433732</v>
      </c>
      <c r="E78" s="54">
        <v>1025745.4165349469</v>
      </c>
      <c r="F78" s="54">
        <v>17013785.724968679</v>
      </c>
      <c r="G78" s="126">
        <v>57.499999999999986</v>
      </c>
      <c r="H78" s="126">
        <v>20.5</v>
      </c>
      <c r="I78" s="124">
        <f t="shared" ref="I78:J78" si="76">I66</f>
        <v>120.71999999999998</v>
      </c>
      <c r="J78" s="124">
        <f t="shared" si="76"/>
        <v>6.58</v>
      </c>
      <c r="K78" s="30">
        <v>30</v>
      </c>
      <c r="L78" s="30">
        <v>307</v>
      </c>
      <c r="M78" s="30">
        <v>3177</v>
      </c>
      <c r="N78" s="30">
        <v>0</v>
      </c>
      <c r="O78" s="30">
        <f t="shared" si="60"/>
        <v>17250163.525232591</v>
      </c>
      <c r="P78" s="30">
        <f t="shared" si="65"/>
        <v>16224418.108697644</v>
      </c>
      <c r="Q78" s="49">
        <f t="shared" si="61"/>
        <v>236377.80026391149</v>
      </c>
      <c r="R78" s="48">
        <f t="shared" si="66"/>
        <v>1.3893310053682755E-2</v>
      </c>
    </row>
    <row r="79" spans="1:18" x14ac:dyDescent="0.2">
      <c r="A79" s="2">
        <v>42856</v>
      </c>
      <c r="B79">
        <f t="shared" si="62"/>
        <v>2017</v>
      </c>
      <c r="C79">
        <f t="shared" si="63"/>
        <v>5</v>
      </c>
      <c r="D79" s="54">
        <v>17068131.836144567</v>
      </c>
      <c r="E79" s="54">
        <v>1025745.4165349469</v>
      </c>
      <c r="F79" s="54">
        <v>18093877.252679512</v>
      </c>
      <c r="G79" s="126">
        <v>22.200000000000003</v>
      </c>
      <c r="H79" s="126">
        <v>63.900000000000013</v>
      </c>
      <c r="I79" s="124">
        <f t="shared" ref="I79:J79" si="77">I67</f>
        <v>16.330000000000002</v>
      </c>
      <c r="J79" s="124">
        <f t="shared" si="77"/>
        <v>107.25</v>
      </c>
      <c r="K79" s="30">
        <v>31</v>
      </c>
      <c r="L79" s="30">
        <v>324</v>
      </c>
      <c r="M79" s="30">
        <v>3185.7</v>
      </c>
      <c r="N79" s="30">
        <v>0</v>
      </c>
      <c r="O79" s="30">
        <f t="shared" si="60"/>
        <v>18350691.153177019</v>
      </c>
      <c r="P79" s="30">
        <f t="shared" si="65"/>
        <v>17324945.736642074</v>
      </c>
      <c r="Q79" s="49">
        <f t="shared" si="61"/>
        <v>256813.9004975073</v>
      </c>
      <c r="R79" s="48">
        <f t="shared" si="66"/>
        <v>1.4193414540793124E-2</v>
      </c>
    </row>
    <row r="80" spans="1:18" x14ac:dyDescent="0.2">
      <c r="A80" s="2">
        <v>42887</v>
      </c>
      <c r="B80">
        <f t="shared" si="62"/>
        <v>2017</v>
      </c>
      <c r="C80">
        <f t="shared" si="63"/>
        <v>6</v>
      </c>
      <c r="D80" s="54">
        <v>18289433.233734939</v>
      </c>
      <c r="E80" s="54">
        <v>1025745.4165349469</v>
      </c>
      <c r="F80" s="54">
        <v>19315178.650269885</v>
      </c>
      <c r="G80" s="126">
        <v>0</v>
      </c>
      <c r="H80" s="126">
        <v>221.49999999999997</v>
      </c>
      <c r="I80" s="124">
        <f t="shared" ref="I80:J80" si="78">I68</f>
        <v>0</v>
      </c>
      <c r="J80" s="124">
        <f t="shared" si="78"/>
        <v>230.10000000000005</v>
      </c>
      <c r="K80" s="30">
        <v>30</v>
      </c>
      <c r="L80" s="30">
        <v>325</v>
      </c>
      <c r="M80" s="30">
        <v>3186.9</v>
      </c>
      <c r="N80" s="30">
        <v>0</v>
      </c>
      <c r="O80" s="30">
        <f t="shared" si="60"/>
        <v>19372180.350650493</v>
      </c>
      <c r="P80" s="30">
        <f t="shared" si="65"/>
        <v>18346434.934115548</v>
      </c>
      <c r="Q80" s="49">
        <f t="shared" si="61"/>
        <v>57001.700380608439</v>
      </c>
      <c r="R80" s="48">
        <f t="shared" si="66"/>
        <v>2.9511350328521022E-3</v>
      </c>
    </row>
    <row r="81" spans="1:32" x14ac:dyDescent="0.2">
      <c r="A81" s="2">
        <v>42917</v>
      </c>
      <c r="B81">
        <f t="shared" si="62"/>
        <v>2017</v>
      </c>
      <c r="C81">
        <f t="shared" si="63"/>
        <v>7</v>
      </c>
      <c r="D81" s="54">
        <v>18523386.361445796</v>
      </c>
      <c r="E81" s="54">
        <v>1025745.4165349469</v>
      </c>
      <c r="F81" s="54">
        <v>19549131.777980741</v>
      </c>
      <c r="G81" s="126">
        <v>0</v>
      </c>
      <c r="H81" s="126">
        <v>302.50000000000006</v>
      </c>
      <c r="I81" s="124">
        <f t="shared" ref="I81:J81" si="79">I69</f>
        <v>0</v>
      </c>
      <c r="J81" s="124">
        <f t="shared" si="79"/>
        <v>331.41</v>
      </c>
      <c r="K81" s="30">
        <v>31</v>
      </c>
      <c r="L81" s="30">
        <v>325</v>
      </c>
      <c r="M81" s="30">
        <v>3187.6</v>
      </c>
      <c r="N81" s="30">
        <v>0</v>
      </c>
      <c r="O81" s="30">
        <f t="shared" si="60"/>
        <v>19740750.284725323</v>
      </c>
      <c r="P81" s="30">
        <f t="shared" si="65"/>
        <v>18715004.868190378</v>
      </c>
      <c r="Q81" s="49">
        <f t="shared" si="61"/>
        <v>191618.50674458221</v>
      </c>
      <c r="R81" s="48">
        <f t="shared" si="66"/>
        <v>9.8018934508596767E-3</v>
      </c>
    </row>
    <row r="82" spans="1:32" x14ac:dyDescent="0.2">
      <c r="A82" s="2">
        <v>42948</v>
      </c>
      <c r="B82">
        <f t="shared" si="62"/>
        <v>2017</v>
      </c>
      <c r="C82">
        <f t="shared" si="63"/>
        <v>8</v>
      </c>
      <c r="D82" s="54">
        <v>18386586.149397578</v>
      </c>
      <c r="E82" s="54">
        <v>1025745.4165349469</v>
      </c>
      <c r="F82" s="54">
        <v>19412331.565932523</v>
      </c>
      <c r="G82" s="126">
        <v>0</v>
      </c>
      <c r="H82" s="126">
        <v>249.60000000000005</v>
      </c>
      <c r="I82" s="124">
        <f t="shared" ref="I82:J82" si="80">I70</f>
        <v>0</v>
      </c>
      <c r="J82" s="124">
        <f t="shared" si="80"/>
        <v>304.46000000000004</v>
      </c>
      <c r="K82" s="30">
        <v>31</v>
      </c>
      <c r="L82" s="30">
        <v>326</v>
      </c>
      <c r="M82" s="30">
        <v>3194.3</v>
      </c>
      <c r="N82" s="30">
        <v>0</v>
      </c>
      <c r="O82" s="30">
        <f t="shared" si="60"/>
        <v>19775949.389523249</v>
      </c>
      <c r="P82" s="30">
        <f t="shared" si="65"/>
        <v>18750203.972988304</v>
      </c>
      <c r="Q82" s="49">
        <f t="shared" si="61"/>
        <v>363617.82359072566</v>
      </c>
      <c r="R82" s="48">
        <f t="shared" si="66"/>
        <v>1.8731280287260964E-2</v>
      </c>
    </row>
    <row r="83" spans="1:32" x14ac:dyDescent="0.2">
      <c r="A83" s="2">
        <v>42979</v>
      </c>
      <c r="B83">
        <f t="shared" si="62"/>
        <v>2017</v>
      </c>
      <c r="C83">
        <f t="shared" si="63"/>
        <v>9</v>
      </c>
      <c r="D83" s="54">
        <v>18228570.718072273</v>
      </c>
      <c r="E83" s="54">
        <v>1025745.4165349469</v>
      </c>
      <c r="F83" s="54">
        <v>19254316.134607218</v>
      </c>
      <c r="G83" s="126">
        <v>0</v>
      </c>
      <c r="H83" s="126">
        <v>203.9</v>
      </c>
      <c r="I83" s="124">
        <f t="shared" ref="I83:J83" si="81">I71</f>
        <v>0.24999999999999983</v>
      </c>
      <c r="J83" s="124">
        <f t="shared" si="81"/>
        <v>176.51</v>
      </c>
      <c r="K83" s="30">
        <v>30</v>
      </c>
      <c r="L83" s="30">
        <v>325</v>
      </c>
      <c r="M83" s="30">
        <v>3212.3</v>
      </c>
      <c r="N83" s="30">
        <v>0</v>
      </c>
      <c r="O83" s="30">
        <f t="shared" si="60"/>
        <v>19074071.939761549</v>
      </c>
      <c r="P83" s="30">
        <f t="shared" si="65"/>
        <v>18048326.523226604</v>
      </c>
      <c r="Q83" s="49">
        <f t="shared" si="61"/>
        <v>-180244.19484566897</v>
      </c>
      <c r="R83" s="48">
        <f t="shared" si="66"/>
        <v>9.3612358696917117E-3</v>
      </c>
      <c r="AF83"/>
    </row>
    <row r="84" spans="1:32" x14ac:dyDescent="0.2">
      <c r="A84" s="2">
        <v>43009</v>
      </c>
      <c r="B84">
        <f t="shared" si="62"/>
        <v>2017</v>
      </c>
      <c r="C84">
        <f t="shared" si="63"/>
        <v>10</v>
      </c>
      <c r="D84" s="54">
        <v>17434652.356626499</v>
      </c>
      <c r="E84" s="54">
        <v>1025745.4165349469</v>
      </c>
      <c r="F84" s="54">
        <v>18460397.773161445</v>
      </c>
      <c r="G84" s="126">
        <v>24.199999999999996</v>
      </c>
      <c r="H84" s="126">
        <v>84.3</v>
      </c>
      <c r="I84" s="124">
        <f t="shared" ref="I84:J84" si="82">I72</f>
        <v>44.309999999999995</v>
      </c>
      <c r="J84" s="124">
        <f t="shared" si="82"/>
        <v>43.36</v>
      </c>
      <c r="K84" s="30">
        <v>31</v>
      </c>
      <c r="L84" s="30">
        <v>325</v>
      </c>
      <c r="M84" s="30">
        <v>3234.8</v>
      </c>
      <c r="N84" s="30">
        <v>0</v>
      </c>
      <c r="O84" s="30">
        <f t="shared" si="60"/>
        <v>18293582.40869657</v>
      </c>
      <c r="P84" s="30">
        <f t="shared" si="65"/>
        <v>17267836.992161624</v>
      </c>
      <c r="Q84" s="49">
        <f t="shared" si="61"/>
        <v>-166815.36446487531</v>
      </c>
      <c r="R84" s="48">
        <f t="shared" si="66"/>
        <v>9.0363905759061683E-3</v>
      </c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</row>
    <row r="85" spans="1:32" x14ac:dyDescent="0.2">
      <c r="A85" s="2">
        <v>43040</v>
      </c>
      <c r="B85">
        <f t="shared" si="62"/>
        <v>2017</v>
      </c>
      <c r="C85">
        <f t="shared" si="63"/>
        <v>11</v>
      </c>
      <c r="D85" s="54">
        <v>17640730.698795177</v>
      </c>
      <c r="E85" s="54">
        <v>1025745.4165349469</v>
      </c>
      <c r="F85" s="54">
        <v>18666476.115330122</v>
      </c>
      <c r="G85" s="126">
        <v>191.20000000000005</v>
      </c>
      <c r="H85" s="126">
        <v>0</v>
      </c>
      <c r="I85" s="124">
        <f t="shared" ref="I85:J85" si="83">I73</f>
        <v>193.95999999999998</v>
      </c>
      <c r="J85" s="124">
        <f t="shared" si="83"/>
        <v>2.7399999999999998</v>
      </c>
      <c r="K85" s="30">
        <v>30</v>
      </c>
      <c r="L85" s="30">
        <v>328</v>
      </c>
      <c r="M85" s="30">
        <v>3248.6</v>
      </c>
      <c r="N85" s="30">
        <v>0</v>
      </c>
      <c r="O85" s="30">
        <f t="shared" si="60"/>
        <v>18698984.626286723</v>
      </c>
      <c r="P85" s="30">
        <f t="shared" si="65"/>
        <v>17673239.209751777</v>
      </c>
      <c r="Q85" s="49">
        <f t="shared" si="61"/>
        <v>32508.510956600308</v>
      </c>
      <c r="R85" s="48">
        <f t="shared" si="66"/>
        <v>1.7415451505548071E-3</v>
      </c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</row>
    <row r="86" spans="1:32" x14ac:dyDescent="0.2">
      <c r="A86" s="2">
        <v>43070</v>
      </c>
      <c r="B86">
        <f t="shared" si="62"/>
        <v>2017</v>
      </c>
      <c r="C86">
        <f t="shared" si="63"/>
        <v>12</v>
      </c>
      <c r="D86" s="54">
        <v>18421065.821686748</v>
      </c>
      <c r="E86" s="54">
        <v>1025745.4165349469</v>
      </c>
      <c r="F86" s="54">
        <v>19446811.238221694</v>
      </c>
      <c r="G86" s="126">
        <v>470.5</v>
      </c>
      <c r="H86" s="126">
        <v>0</v>
      </c>
      <c r="I86" s="124">
        <f t="shared" ref="I86:J86" si="84">I74</f>
        <v>327.48000000000008</v>
      </c>
      <c r="J86" s="124">
        <f t="shared" si="84"/>
        <v>0</v>
      </c>
      <c r="K86" s="30">
        <v>31</v>
      </c>
      <c r="L86" s="30">
        <v>329</v>
      </c>
      <c r="M86" s="30">
        <v>3264.9</v>
      </c>
      <c r="N86" s="30">
        <v>0</v>
      </c>
      <c r="O86" s="30">
        <f t="shared" si="60"/>
        <v>18703340.211005516</v>
      </c>
      <c r="P86" s="30">
        <f t="shared" si="65"/>
        <v>17677594.794470571</v>
      </c>
      <c r="Q86" s="49">
        <f t="shared" si="61"/>
        <v>-743471.02721617743</v>
      </c>
      <c r="R86" s="48">
        <f t="shared" si="66"/>
        <v>3.8230999319565764E-2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</row>
    <row r="87" spans="1:32" x14ac:dyDescent="0.2">
      <c r="A87" s="2">
        <v>43101</v>
      </c>
      <c r="B87">
        <f t="shared" si="62"/>
        <v>2018</v>
      </c>
      <c r="C87">
        <f t="shared" si="63"/>
        <v>1</v>
      </c>
      <c r="D87" s="54">
        <v>19760806.669879515</v>
      </c>
      <c r="E87" s="54">
        <v>1423583.7771266622</v>
      </c>
      <c r="F87" s="54">
        <v>21184390.447006177</v>
      </c>
      <c r="G87" s="126">
        <v>484.2999999999999</v>
      </c>
      <c r="H87" s="126">
        <v>0</v>
      </c>
      <c r="I87" s="124">
        <f t="shared" ref="I87:J87" si="85">I75</f>
        <v>439.5</v>
      </c>
      <c r="J87" s="124">
        <f t="shared" si="85"/>
        <v>0</v>
      </c>
      <c r="K87" s="30">
        <v>31</v>
      </c>
      <c r="L87" s="30">
        <v>327</v>
      </c>
      <c r="M87" s="30">
        <v>3268.4</v>
      </c>
      <c r="N87" s="30">
        <v>0</v>
      </c>
      <c r="O87" s="30">
        <f t="shared" si="60"/>
        <v>20951503.424077325</v>
      </c>
      <c r="P87" s="30">
        <f t="shared" si="65"/>
        <v>19527919.646950662</v>
      </c>
      <c r="Q87" s="49">
        <f t="shared" si="61"/>
        <v>-232887.02292885259</v>
      </c>
      <c r="R87" s="48">
        <f t="shared" si="66"/>
        <v>1.0993331316821753E-2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</row>
    <row r="88" spans="1:32" x14ac:dyDescent="0.2">
      <c r="A88" s="2">
        <v>43132</v>
      </c>
      <c r="B88">
        <f t="shared" si="62"/>
        <v>2018</v>
      </c>
      <c r="C88">
        <f t="shared" si="63"/>
        <v>2</v>
      </c>
      <c r="D88" s="54">
        <v>17343083.026506029</v>
      </c>
      <c r="E88" s="54">
        <v>1423583.7771266622</v>
      </c>
      <c r="F88" s="54">
        <v>18766666.803632692</v>
      </c>
      <c r="G88" s="126">
        <v>331.00000000000011</v>
      </c>
      <c r="H88" s="126">
        <v>0</v>
      </c>
      <c r="I88" s="124">
        <f t="shared" ref="I88:J88" si="86">I76</f>
        <v>403.5</v>
      </c>
      <c r="J88" s="124">
        <f t="shared" si="86"/>
        <v>0</v>
      </c>
      <c r="K88" s="30">
        <v>28</v>
      </c>
      <c r="L88" s="30">
        <v>328</v>
      </c>
      <c r="M88" s="30">
        <v>3267.8</v>
      </c>
      <c r="N88" s="30">
        <v>0</v>
      </c>
      <c r="O88" s="30">
        <f t="shared" si="60"/>
        <v>19143548.704577822</v>
      </c>
      <c r="P88" s="30">
        <f t="shared" si="65"/>
        <v>17719964.92745116</v>
      </c>
      <c r="Q88" s="49">
        <f t="shared" si="61"/>
        <v>376881.90094513074</v>
      </c>
      <c r="R88" s="48">
        <f t="shared" si="66"/>
        <v>2.00825167776825E-2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</row>
    <row r="89" spans="1:32" x14ac:dyDescent="0.2">
      <c r="A89" s="2">
        <v>43160</v>
      </c>
      <c r="B89">
        <f t="shared" si="62"/>
        <v>2018</v>
      </c>
      <c r="C89">
        <f t="shared" si="63"/>
        <v>3</v>
      </c>
      <c r="D89" s="54">
        <v>16274077.571084337</v>
      </c>
      <c r="E89" s="54">
        <v>1423583.7771266622</v>
      </c>
      <c r="F89" s="54">
        <v>17697661.348210998</v>
      </c>
      <c r="G89" s="126">
        <v>306.00000000000006</v>
      </c>
      <c r="H89" s="126">
        <v>0</v>
      </c>
      <c r="I89" s="124">
        <f t="shared" ref="I89:J89" si="87">I77</f>
        <v>291.06</v>
      </c>
      <c r="J89" s="124">
        <f t="shared" si="87"/>
        <v>2.8099999999999996</v>
      </c>
      <c r="K89" s="30">
        <v>31</v>
      </c>
      <c r="L89" s="30">
        <v>331</v>
      </c>
      <c r="M89" s="30">
        <v>3257.5</v>
      </c>
      <c r="N89" s="30">
        <v>0</v>
      </c>
      <c r="O89" s="30">
        <f t="shared" si="60"/>
        <v>17638622.65895519</v>
      </c>
      <c r="P89" s="30">
        <f t="shared" si="65"/>
        <v>16215038.881828528</v>
      </c>
      <c r="Q89" s="49">
        <f t="shared" si="61"/>
        <v>-59038.689255807549</v>
      </c>
      <c r="R89" s="48">
        <f t="shared" si="66"/>
        <v>3.3359599381064882E-3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</row>
    <row r="90" spans="1:32" x14ac:dyDescent="0.2">
      <c r="A90" s="2">
        <v>43191</v>
      </c>
      <c r="B90">
        <f t="shared" si="62"/>
        <v>2018</v>
      </c>
      <c r="C90">
        <f t="shared" si="63"/>
        <v>4</v>
      </c>
      <c r="D90" s="54">
        <v>17860673.320481922</v>
      </c>
      <c r="E90" s="54">
        <v>1423583.7771266622</v>
      </c>
      <c r="F90" s="54">
        <v>19284257.097608585</v>
      </c>
      <c r="G90" s="126">
        <v>200</v>
      </c>
      <c r="H90" s="126">
        <v>0</v>
      </c>
      <c r="I90" s="124">
        <f t="shared" ref="I90:J90" si="88">I78</f>
        <v>120.71999999999998</v>
      </c>
      <c r="J90" s="124">
        <f t="shared" si="88"/>
        <v>6.58</v>
      </c>
      <c r="K90" s="30">
        <v>30</v>
      </c>
      <c r="L90" s="30">
        <v>332</v>
      </c>
      <c r="M90" s="30">
        <v>3252.9</v>
      </c>
      <c r="N90" s="30">
        <v>0</v>
      </c>
      <c r="O90" s="30">
        <f t="shared" si="60"/>
        <v>18915743.169857133</v>
      </c>
      <c r="P90" s="30">
        <f t="shared" si="65"/>
        <v>17492159.392730471</v>
      </c>
      <c r="Q90" s="49">
        <f t="shared" si="61"/>
        <v>-368513.92775145173</v>
      </c>
      <c r="R90" s="48">
        <f t="shared" si="66"/>
        <v>1.9109573466387288E-2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</row>
    <row r="91" spans="1:32" x14ac:dyDescent="0.2">
      <c r="A91" s="2">
        <v>43221</v>
      </c>
      <c r="B91">
        <f t="shared" si="62"/>
        <v>2018</v>
      </c>
      <c r="C91">
        <f t="shared" si="63"/>
        <v>5</v>
      </c>
      <c r="D91" s="54">
        <v>18372275.971084341</v>
      </c>
      <c r="E91" s="54">
        <v>1423583.7771266622</v>
      </c>
      <c r="F91" s="54">
        <v>19795859.748211004</v>
      </c>
      <c r="G91" s="126">
        <v>1.9000000000000004</v>
      </c>
      <c r="H91" s="126">
        <v>158.9</v>
      </c>
      <c r="I91" s="124">
        <f t="shared" ref="I91:J91" si="89">I79</f>
        <v>16.330000000000002</v>
      </c>
      <c r="J91" s="124">
        <f t="shared" si="89"/>
        <v>107.25</v>
      </c>
      <c r="K91" s="30">
        <v>31</v>
      </c>
      <c r="L91" s="30">
        <v>333</v>
      </c>
      <c r="M91" s="30">
        <v>3249.3</v>
      </c>
      <c r="N91" s="30">
        <v>0</v>
      </c>
      <c r="O91" s="30">
        <f t="shared" si="60"/>
        <v>19528530.634908278</v>
      </c>
      <c r="P91" s="30">
        <f t="shared" si="65"/>
        <v>18104946.857781615</v>
      </c>
      <c r="Q91" s="49">
        <f t="shared" si="61"/>
        <v>-267329.1133027263</v>
      </c>
      <c r="R91" s="48">
        <f t="shared" si="66"/>
        <v>1.350429416569722E-2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</row>
    <row r="92" spans="1:32" x14ac:dyDescent="0.2">
      <c r="A92" s="2">
        <v>43252</v>
      </c>
      <c r="B92">
        <f t="shared" si="62"/>
        <v>2018</v>
      </c>
      <c r="C92">
        <f t="shared" si="63"/>
        <v>6</v>
      </c>
      <c r="D92" s="54">
        <v>19648875.142168682</v>
      </c>
      <c r="E92" s="54">
        <v>1423583.7771266622</v>
      </c>
      <c r="F92" s="54">
        <v>21072458.919295345</v>
      </c>
      <c r="G92" s="126">
        <v>0</v>
      </c>
      <c r="H92" s="126">
        <v>225.70000000000002</v>
      </c>
      <c r="I92" s="124">
        <f t="shared" ref="I92:J92" si="90">I80</f>
        <v>0</v>
      </c>
      <c r="J92" s="124">
        <f t="shared" si="90"/>
        <v>230.10000000000005</v>
      </c>
      <c r="K92" s="30">
        <v>30</v>
      </c>
      <c r="L92" s="30">
        <v>333</v>
      </c>
      <c r="M92" s="30">
        <v>3254.6</v>
      </c>
      <c r="N92" s="30">
        <v>0</v>
      </c>
      <c r="O92" s="30">
        <f t="shared" si="60"/>
        <v>21101622.57995519</v>
      </c>
      <c r="P92" s="30">
        <f t="shared" si="65"/>
        <v>19678038.802828528</v>
      </c>
      <c r="Q92" s="49">
        <f t="shared" si="61"/>
        <v>29163.660659845918</v>
      </c>
      <c r="R92" s="48">
        <f t="shared" si="66"/>
        <v>1.3839704598091176E-3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</row>
    <row r="93" spans="1:32" x14ac:dyDescent="0.2">
      <c r="A93" s="2">
        <v>43282</v>
      </c>
      <c r="B93">
        <f t="shared" si="62"/>
        <v>2018</v>
      </c>
      <c r="C93">
        <f t="shared" si="63"/>
        <v>7</v>
      </c>
      <c r="D93" s="54">
        <v>19458868.327710845</v>
      </c>
      <c r="E93" s="54">
        <v>1423583.7771266622</v>
      </c>
      <c r="F93" s="54">
        <v>20882452.104837507</v>
      </c>
      <c r="G93" s="126">
        <v>0</v>
      </c>
      <c r="H93" s="126">
        <v>353.79999999999995</v>
      </c>
      <c r="I93" s="124">
        <f t="shared" ref="I93:J93" si="91">I81</f>
        <v>0</v>
      </c>
      <c r="J93" s="124">
        <f t="shared" si="91"/>
        <v>331.41</v>
      </c>
      <c r="K93" s="30">
        <v>31</v>
      </c>
      <c r="L93" s="30">
        <v>335</v>
      </c>
      <c r="M93" s="30">
        <v>3268.2</v>
      </c>
      <c r="N93" s="30">
        <v>0</v>
      </c>
      <c r="O93" s="30">
        <f t="shared" si="60"/>
        <v>20734048.84070706</v>
      </c>
      <c r="P93" s="30">
        <f t="shared" si="65"/>
        <v>19310465.063580398</v>
      </c>
      <c r="Q93" s="49">
        <f t="shared" si="61"/>
        <v>-148403.26413044706</v>
      </c>
      <c r="R93" s="48">
        <f t="shared" si="66"/>
        <v>7.1066014367186705E-3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</row>
    <row r="94" spans="1:32" x14ac:dyDescent="0.2">
      <c r="A94" s="2">
        <v>43313</v>
      </c>
      <c r="B94">
        <f t="shared" si="62"/>
        <v>2018</v>
      </c>
      <c r="C94">
        <f t="shared" si="63"/>
        <v>8</v>
      </c>
      <c r="D94" s="54">
        <v>20075782.737349391</v>
      </c>
      <c r="E94" s="54">
        <v>1423583.7771266622</v>
      </c>
      <c r="F94" s="54">
        <v>21499366.514476053</v>
      </c>
      <c r="G94" s="126">
        <v>0</v>
      </c>
      <c r="H94" s="126">
        <v>347.2</v>
      </c>
      <c r="I94" s="124">
        <f t="shared" ref="I94:J94" si="92">I82</f>
        <v>0</v>
      </c>
      <c r="J94" s="124">
        <f t="shared" si="92"/>
        <v>304.46000000000004</v>
      </c>
      <c r="K94" s="30">
        <v>31</v>
      </c>
      <c r="L94" s="30">
        <v>329</v>
      </c>
      <c r="M94" s="30">
        <v>3263.2</v>
      </c>
      <c r="N94" s="30">
        <v>0</v>
      </c>
      <c r="O94" s="30">
        <f t="shared" si="60"/>
        <v>21216081.319793817</v>
      </c>
      <c r="P94" s="30">
        <f t="shared" si="65"/>
        <v>19792497.542667154</v>
      </c>
      <c r="Q94" s="49">
        <f t="shared" si="61"/>
        <v>-283285.19468223676</v>
      </c>
      <c r="R94" s="48">
        <f t="shared" si="66"/>
        <v>1.3176443803192706E-2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</row>
    <row r="95" spans="1:32" x14ac:dyDescent="0.2">
      <c r="A95" s="2">
        <v>43344</v>
      </c>
      <c r="B95">
        <f t="shared" si="62"/>
        <v>2018</v>
      </c>
      <c r="C95">
        <f t="shared" si="63"/>
        <v>9</v>
      </c>
      <c r="D95" s="54">
        <v>18418754.37108434</v>
      </c>
      <c r="E95" s="54">
        <v>1423583.7771266622</v>
      </c>
      <c r="F95" s="54">
        <v>19842338.148211002</v>
      </c>
      <c r="G95" s="126">
        <v>0</v>
      </c>
      <c r="H95" s="126">
        <v>210.59999999999997</v>
      </c>
      <c r="I95" s="124">
        <f t="shared" ref="I95:J95" si="93">I83</f>
        <v>0.24999999999999983</v>
      </c>
      <c r="J95" s="124">
        <f t="shared" si="93"/>
        <v>176.51</v>
      </c>
      <c r="K95" s="30">
        <v>30</v>
      </c>
      <c r="L95" s="30">
        <v>326</v>
      </c>
      <c r="M95" s="30">
        <v>3255.6</v>
      </c>
      <c r="N95" s="30">
        <v>0</v>
      </c>
      <c r="O95" s="30">
        <f t="shared" si="60"/>
        <v>19617685.651906025</v>
      </c>
      <c r="P95" s="30">
        <f t="shared" si="65"/>
        <v>18194101.874779362</v>
      </c>
      <c r="Q95" s="49">
        <f t="shared" si="61"/>
        <v>-224652.49630497769</v>
      </c>
      <c r="R95" s="48">
        <f t="shared" si="66"/>
        <v>1.1321876213727992E-2</v>
      </c>
      <c r="AE95" s="5"/>
    </row>
    <row r="96" spans="1:32" x14ac:dyDescent="0.2">
      <c r="A96" s="2">
        <v>43374</v>
      </c>
      <c r="B96">
        <f t="shared" si="62"/>
        <v>2018</v>
      </c>
      <c r="C96">
        <f t="shared" si="63"/>
        <v>10</v>
      </c>
      <c r="D96" s="54">
        <v>17903378.053012051</v>
      </c>
      <c r="E96" s="54">
        <v>1423583.7771266622</v>
      </c>
      <c r="F96" s="54">
        <v>19326961.830138713</v>
      </c>
      <c r="G96" s="126">
        <v>81.899999999999977</v>
      </c>
      <c r="H96" s="126">
        <v>30.9</v>
      </c>
      <c r="I96" s="124">
        <f t="shared" ref="I96:J96" si="94">I84</f>
        <v>44.309999999999995</v>
      </c>
      <c r="J96" s="124">
        <f t="shared" si="94"/>
        <v>43.36</v>
      </c>
      <c r="K96" s="30">
        <v>31</v>
      </c>
      <c r="L96" s="30">
        <v>326</v>
      </c>
      <c r="M96" s="30">
        <v>3254.2</v>
      </c>
      <c r="N96" s="30">
        <v>0</v>
      </c>
      <c r="O96" s="30">
        <f t="shared" si="60"/>
        <v>19214141.246967401</v>
      </c>
      <c r="P96" s="30">
        <f t="shared" si="65"/>
        <v>17790557.469840739</v>
      </c>
      <c r="Q96" s="49">
        <f t="shared" si="61"/>
        <v>-112820.58317131177</v>
      </c>
      <c r="R96" s="48">
        <f t="shared" si="66"/>
        <v>5.8374712054006283E-3</v>
      </c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</row>
    <row r="97" spans="1:40" x14ac:dyDescent="0.2">
      <c r="A97" s="2">
        <v>43405</v>
      </c>
      <c r="B97">
        <f t="shared" si="62"/>
        <v>2018</v>
      </c>
      <c r="C97">
        <f t="shared" si="63"/>
        <v>11</v>
      </c>
      <c r="D97" s="54">
        <v>18069580.289156623</v>
      </c>
      <c r="E97" s="54">
        <v>1423583.7771266622</v>
      </c>
      <c r="F97" s="54">
        <v>19493164.066283286</v>
      </c>
      <c r="G97" s="126">
        <v>256.49999999999994</v>
      </c>
      <c r="H97" s="126">
        <v>0.40000000000000036</v>
      </c>
      <c r="I97" s="124">
        <f t="shared" ref="I97:J97" si="95">I85</f>
        <v>193.95999999999998</v>
      </c>
      <c r="J97" s="124">
        <f t="shared" si="95"/>
        <v>2.7399999999999998</v>
      </c>
      <c r="K97" s="30">
        <v>30</v>
      </c>
      <c r="L97" s="30">
        <v>328</v>
      </c>
      <c r="M97" s="30">
        <v>3272.2</v>
      </c>
      <c r="N97" s="30">
        <v>0</v>
      </c>
      <c r="O97" s="30">
        <f t="shared" si="60"/>
        <v>19183567.705958724</v>
      </c>
      <c r="P97" s="30">
        <f t="shared" si="65"/>
        <v>17759983.928832062</v>
      </c>
      <c r="Q97" s="49">
        <f t="shared" si="61"/>
        <v>-309596.3603245616</v>
      </c>
      <c r="R97" s="48">
        <f t="shared" si="66"/>
        <v>1.5882304138611376E-2</v>
      </c>
    </row>
    <row r="98" spans="1:40" x14ac:dyDescent="0.2">
      <c r="A98" s="2">
        <v>43435</v>
      </c>
      <c r="B98">
        <f t="shared" si="62"/>
        <v>2018</v>
      </c>
      <c r="C98">
        <f t="shared" si="63"/>
        <v>12</v>
      </c>
      <c r="D98" s="54">
        <v>18620637.38795181</v>
      </c>
      <c r="E98" s="54">
        <v>1423583.7771266622</v>
      </c>
      <c r="F98" s="54">
        <v>20044221.165078472</v>
      </c>
      <c r="G98" s="126">
        <v>315.60000000000002</v>
      </c>
      <c r="H98" s="126">
        <v>0</v>
      </c>
      <c r="I98" s="124">
        <f t="shared" ref="I98:J98" si="96">I86</f>
        <v>327.48000000000008</v>
      </c>
      <c r="J98" s="124">
        <f t="shared" si="96"/>
        <v>0</v>
      </c>
      <c r="K98" s="30">
        <v>31</v>
      </c>
      <c r="L98" s="30">
        <v>328</v>
      </c>
      <c r="M98" s="30">
        <v>3285.5</v>
      </c>
      <c r="N98" s="30">
        <v>0</v>
      </c>
      <c r="O98" s="30">
        <f t="shared" si="60"/>
        <v>20105977.813122999</v>
      </c>
      <c r="P98" s="30">
        <f t="shared" si="65"/>
        <v>18682394.035996336</v>
      </c>
      <c r="Q98" s="49">
        <f t="shared" si="61"/>
        <v>61756.648044526577</v>
      </c>
      <c r="R98" s="48">
        <f t="shared" si="66"/>
        <v>3.0810200873317294E-3</v>
      </c>
      <c r="S98" s="39"/>
    </row>
    <row r="99" spans="1:40" s="8" customFormat="1" x14ac:dyDescent="0.2">
      <c r="A99" s="2">
        <v>43466</v>
      </c>
      <c r="B99">
        <f t="shared" si="62"/>
        <v>2019</v>
      </c>
      <c r="C99">
        <f t="shared" si="63"/>
        <v>1</v>
      </c>
      <c r="D99" s="54">
        <v>20021565.956626497</v>
      </c>
      <c r="E99" s="54">
        <v>1598997.2617911876</v>
      </c>
      <c r="F99" s="54">
        <v>21620563.218417685</v>
      </c>
      <c r="G99" s="126">
        <v>516.5</v>
      </c>
      <c r="H99" s="126">
        <v>0</v>
      </c>
      <c r="I99" s="124">
        <f t="shared" ref="I99:J99" si="97">I87</f>
        <v>439.5</v>
      </c>
      <c r="J99" s="124">
        <f t="shared" si="97"/>
        <v>0</v>
      </c>
      <c r="K99" s="30">
        <v>31</v>
      </c>
      <c r="L99" s="30">
        <v>326</v>
      </c>
      <c r="M99" s="30">
        <v>3291.7</v>
      </c>
      <c r="N99" s="30">
        <v>0</v>
      </c>
      <c r="O99" s="30">
        <f t="shared" ref="O99:O134" si="98">F99+(I99-G99)*$T$11+(J99-H99)*$T$12</f>
        <v>21220288.647758719</v>
      </c>
      <c r="P99" s="30">
        <f t="shared" si="65"/>
        <v>19621291.38596753</v>
      </c>
      <c r="Q99" s="49">
        <f t="shared" ref="Q99:Q127" si="99">+O99-F99</f>
        <v>-400274.5706589669</v>
      </c>
      <c r="R99" s="48">
        <f t="shared" si="66"/>
        <v>1.8513605155206555E-2</v>
      </c>
      <c r="S99" s="39"/>
      <c r="T99" s="1"/>
      <c r="U99" s="1"/>
      <c r="V99" s="1"/>
      <c r="W99"/>
      <c r="X99"/>
      <c r="Y99"/>
      <c r="Z99"/>
      <c r="AA99"/>
      <c r="AB99"/>
      <c r="AC99"/>
      <c r="AD99"/>
      <c r="AE99"/>
      <c r="AF99" s="37"/>
      <c r="AG99" s="37"/>
      <c r="AH99" s="37"/>
      <c r="AI99" s="37"/>
      <c r="AJ99" s="37"/>
      <c r="AK99" s="37"/>
      <c r="AL99" s="37"/>
      <c r="AM99" s="37"/>
      <c r="AN99" s="37"/>
    </row>
    <row r="100" spans="1:40" x14ac:dyDescent="0.2">
      <c r="A100" s="2">
        <v>43497</v>
      </c>
      <c r="B100">
        <f t="shared" si="62"/>
        <v>2019</v>
      </c>
      <c r="C100">
        <f t="shared" si="63"/>
        <v>2</v>
      </c>
      <c r="D100" s="54">
        <v>17820036.587951798</v>
      </c>
      <c r="E100" s="54">
        <v>1598997.2617911876</v>
      </c>
      <c r="F100" s="54">
        <v>19419033.849742986</v>
      </c>
      <c r="G100" s="126">
        <v>397.7000000000001</v>
      </c>
      <c r="H100" s="126">
        <v>0</v>
      </c>
      <c r="I100" s="124">
        <f t="shared" ref="I100:J100" si="100">I88</f>
        <v>403.5</v>
      </c>
      <c r="J100" s="124">
        <f t="shared" si="100"/>
        <v>0</v>
      </c>
      <c r="K100" s="30">
        <v>28</v>
      </c>
      <c r="L100" s="30">
        <v>328</v>
      </c>
      <c r="M100" s="30">
        <v>3307</v>
      </c>
      <c r="N100" s="30">
        <v>0</v>
      </c>
      <c r="O100" s="30">
        <f t="shared" si="98"/>
        <v>19449184.401818596</v>
      </c>
      <c r="P100" s="30">
        <f t="shared" ref="P100:P127" si="101">O100-E100</f>
        <v>17850187.140027408</v>
      </c>
      <c r="Q100" s="49">
        <f t="shared" si="99"/>
        <v>30150.552075609565</v>
      </c>
      <c r="R100" s="48">
        <f t="shared" si="66"/>
        <v>1.5526288438911502E-3</v>
      </c>
      <c r="T100" s="1"/>
      <c r="U100" s="1"/>
      <c r="V100" s="1"/>
    </row>
    <row r="101" spans="1:40" x14ac:dyDescent="0.2">
      <c r="A101" s="2">
        <v>43525</v>
      </c>
      <c r="B101">
        <f t="shared" si="62"/>
        <v>2019</v>
      </c>
      <c r="C101">
        <f t="shared" si="63"/>
        <v>3</v>
      </c>
      <c r="D101" s="54">
        <v>18868347.971084334</v>
      </c>
      <c r="E101" s="54">
        <v>1598997.2617911876</v>
      </c>
      <c r="F101" s="54">
        <v>20467345.232875522</v>
      </c>
      <c r="G101" s="126">
        <v>345.9</v>
      </c>
      <c r="H101" s="126">
        <v>0</v>
      </c>
      <c r="I101" s="124">
        <f t="shared" ref="I101:J101" si="102">I89</f>
        <v>291.06</v>
      </c>
      <c r="J101" s="124">
        <f t="shared" si="102"/>
        <v>2.8099999999999996</v>
      </c>
      <c r="K101" s="30">
        <v>31</v>
      </c>
      <c r="L101" s="30">
        <v>332</v>
      </c>
      <c r="M101" s="30">
        <v>3322.8</v>
      </c>
      <c r="N101" s="30">
        <v>0</v>
      </c>
      <c r="O101" s="30">
        <f t="shared" si="98"/>
        <v>20200891.538823705</v>
      </c>
      <c r="P101" s="30">
        <f t="shared" si="101"/>
        <v>18601894.277032517</v>
      </c>
      <c r="Q101" s="49">
        <f t="shared" si="99"/>
        <v>-266453.69405181706</v>
      </c>
      <c r="R101" s="48">
        <f t="shared" si="66"/>
        <v>1.301847850906564E-2</v>
      </c>
      <c r="S101" s="39"/>
      <c r="T101" s="1"/>
      <c r="U101" s="1"/>
      <c r="V101" s="1"/>
    </row>
    <row r="102" spans="1:40" x14ac:dyDescent="0.2">
      <c r="A102" s="2">
        <v>43556</v>
      </c>
      <c r="B102">
        <f t="shared" si="62"/>
        <v>2019</v>
      </c>
      <c r="C102">
        <f t="shared" si="63"/>
        <v>4</v>
      </c>
      <c r="D102" s="54">
        <v>17363850.910843372</v>
      </c>
      <c r="E102" s="54">
        <v>1598997.2617911876</v>
      </c>
      <c r="F102" s="54">
        <v>18962848.172634561</v>
      </c>
      <c r="G102" s="126">
        <v>111.89999999999998</v>
      </c>
      <c r="H102" s="126">
        <v>1.9000000000000004</v>
      </c>
      <c r="I102" s="124">
        <f t="shared" ref="I102:J102" si="103">I90</f>
        <v>120.71999999999998</v>
      </c>
      <c r="J102" s="124">
        <f t="shared" si="103"/>
        <v>6.58</v>
      </c>
      <c r="K102" s="30">
        <v>30</v>
      </c>
      <c r="L102" s="30">
        <v>339</v>
      </c>
      <c r="M102" s="30">
        <v>3341.2</v>
      </c>
      <c r="N102" s="30">
        <v>0</v>
      </c>
      <c r="O102" s="30">
        <f t="shared" si="98"/>
        <v>19039717.335248243</v>
      </c>
      <c r="P102" s="30">
        <f t="shared" si="101"/>
        <v>17440720.073457055</v>
      </c>
      <c r="Q102" s="49">
        <f t="shared" si="99"/>
        <v>76869.162613682449</v>
      </c>
      <c r="R102" s="48">
        <f t="shared" si="66"/>
        <v>4.0536717856873928E-3</v>
      </c>
      <c r="T102" s="1"/>
      <c r="U102" s="1"/>
      <c r="V102" s="1"/>
    </row>
    <row r="103" spans="1:40" x14ac:dyDescent="0.2">
      <c r="A103" s="2">
        <v>43586</v>
      </c>
      <c r="B103">
        <f t="shared" si="62"/>
        <v>2019</v>
      </c>
      <c r="C103">
        <f t="shared" si="63"/>
        <v>5</v>
      </c>
      <c r="D103" s="54">
        <v>17505961.4939759</v>
      </c>
      <c r="E103" s="54">
        <v>1598997.2617911876</v>
      </c>
      <c r="F103" s="54">
        <v>19104958.755767088</v>
      </c>
      <c r="G103" s="126">
        <v>20.6</v>
      </c>
      <c r="H103" s="126">
        <v>39.799999999999997</v>
      </c>
      <c r="I103" s="124">
        <f t="shared" ref="I103:J103" si="104">I91</f>
        <v>16.330000000000002</v>
      </c>
      <c r="J103" s="124">
        <f t="shared" si="104"/>
        <v>107.25</v>
      </c>
      <c r="K103" s="30">
        <v>31</v>
      </c>
      <c r="L103" s="30">
        <v>342</v>
      </c>
      <c r="M103" s="30">
        <v>3355</v>
      </c>
      <c r="N103" s="30">
        <v>0</v>
      </c>
      <c r="O103" s="30">
        <f t="shared" si="98"/>
        <v>19529827.373100244</v>
      </c>
      <c r="P103" s="30">
        <f t="shared" si="101"/>
        <v>17930830.111309055</v>
      </c>
      <c r="Q103" s="49">
        <f t="shared" si="99"/>
        <v>424868.61733315513</v>
      </c>
      <c r="R103" s="48">
        <f t="shared" si="66"/>
        <v>2.2238656610808063E-2</v>
      </c>
      <c r="S103" s="39"/>
      <c r="T103" s="1"/>
      <c r="U103" s="1"/>
      <c r="V103" s="1"/>
    </row>
    <row r="104" spans="1:40" x14ac:dyDescent="0.2">
      <c r="A104" s="2">
        <v>43617</v>
      </c>
      <c r="B104">
        <f t="shared" si="62"/>
        <v>2019</v>
      </c>
      <c r="C104">
        <f t="shared" si="63"/>
        <v>6</v>
      </c>
      <c r="D104" s="54">
        <v>17272766.390361439</v>
      </c>
      <c r="E104" s="54">
        <v>1598997.2617911876</v>
      </c>
      <c r="F104" s="54">
        <v>18871763.652152628</v>
      </c>
      <c r="G104" s="126">
        <v>0</v>
      </c>
      <c r="H104" s="126">
        <v>186.2</v>
      </c>
      <c r="I104" s="124">
        <f t="shared" ref="I104:J104" si="105">I92</f>
        <v>0</v>
      </c>
      <c r="J104" s="124">
        <f t="shared" si="105"/>
        <v>230.10000000000005</v>
      </c>
      <c r="K104" s="30">
        <v>30</v>
      </c>
      <c r="L104" s="30">
        <v>343</v>
      </c>
      <c r="M104" s="30">
        <v>3367.5</v>
      </c>
      <c r="N104" s="30">
        <v>0</v>
      </c>
      <c r="O104" s="30">
        <f t="shared" si="98"/>
        <v>19162737.448281553</v>
      </c>
      <c r="P104" s="30">
        <f t="shared" si="101"/>
        <v>17563740.186490364</v>
      </c>
      <c r="Q104" s="49">
        <f t="shared" si="99"/>
        <v>290973.79612892494</v>
      </c>
      <c r="R104" s="48">
        <f t="shared" si="66"/>
        <v>1.5418473942987024E-2</v>
      </c>
      <c r="S104" s="39"/>
      <c r="T104" s="1"/>
      <c r="U104" s="1"/>
      <c r="V104" s="1"/>
    </row>
    <row r="105" spans="1:40" x14ac:dyDescent="0.2">
      <c r="A105" s="2">
        <v>43647</v>
      </c>
      <c r="B105">
        <f t="shared" si="62"/>
        <v>2019</v>
      </c>
      <c r="C105">
        <f t="shared" si="63"/>
        <v>7</v>
      </c>
      <c r="D105" s="54">
        <v>20011928.221686758</v>
      </c>
      <c r="E105" s="54">
        <v>1598997.2617911876</v>
      </c>
      <c r="F105" s="54">
        <v>21610925.483477946</v>
      </c>
      <c r="G105" s="126">
        <v>0</v>
      </c>
      <c r="H105" s="126">
        <v>352.89999999999992</v>
      </c>
      <c r="I105" s="124">
        <f t="shared" ref="I105:J105" si="106">I93</f>
        <v>0</v>
      </c>
      <c r="J105" s="124">
        <f t="shared" si="106"/>
        <v>331.41</v>
      </c>
      <c r="K105" s="30">
        <v>31</v>
      </c>
      <c r="L105" s="30">
        <v>346</v>
      </c>
      <c r="M105" s="30">
        <v>3382.6</v>
      </c>
      <c r="N105" s="30">
        <v>0</v>
      </c>
      <c r="O105" s="30">
        <f t="shared" si="98"/>
        <v>21468487.513573378</v>
      </c>
      <c r="P105" s="30">
        <f t="shared" si="101"/>
        <v>19869490.25178219</v>
      </c>
      <c r="Q105" s="49">
        <f t="shared" si="99"/>
        <v>-142437.96990456805</v>
      </c>
      <c r="R105" s="48">
        <f t="shared" si="66"/>
        <v>6.5910166602288819E-3</v>
      </c>
      <c r="S105" s="39"/>
      <c r="T105" s="1"/>
      <c r="U105" s="1"/>
      <c r="V105" s="1"/>
    </row>
    <row r="106" spans="1:40" x14ac:dyDescent="0.2">
      <c r="A106" s="2">
        <v>43678</v>
      </c>
      <c r="B106">
        <f t="shared" si="62"/>
        <v>2019</v>
      </c>
      <c r="C106">
        <f t="shared" si="63"/>
        <v>8</v>
      </c>
      <c r="D106" s="54">
        <v>18900005.146987949</v>
      </c>
      <c r="E106" s="54">
        <v>1598997.2617911876</v>
      </c>
      <c r="F106" s="54">
        <v>20499002.408779137</v>
      </c>
      <c r="G106" s="126">
        <v>0</v>
      </c>
      <c r="H106" s="126">
        <v>288.39999999999998</v>
      </c>
      <c r="I106" s="124">
        <f t="shared" ref="I106:J106" si="107">I94</f>
        <v>0</v>
      </c>
      <c r="J106" s="124">
        <f t="shared" si="107"/>
        <v>304.46000000000004</v>
      </c>
      <c r="K106" s="30">
        <v>31</v>
      </c>
      <c r="L106" s="30">
        <v>347</v>
      </c>
      <c r="M106" s="30">
        <v>3394.4</v>
      </c>
      <c r="N106" s="30">
        <v>0</v>
      </c>
      <c r="O106" s="30">
        <f t="shared" si="98"/>
        <v>20605449.770187579</v>
      </c>
      <c r="P106" s="30">
        <f t="shared" si="101"/>
        <v>19006452.508396391</v>
      </c>
      <c r="Q106" s="49">
        <f t="shared" si="99"/>
        <v>106447.36140844226</v>
      </c>
      <c r="R106" s="48">
        <f t="shared" si="66"/>
        <v>5.1928069125380411E-3</v>
      </c>
      <c r="S106" s="39"/>
      <c r="T106" s="1"/>
      <c r="U106" s="1"/>
      <c r="V106" s="1"/>
    </row>
    <row r="107" spans="1:40" x14ac:dyDescent="0.2">
      <c r="A107" s="2">
        <v>43709</v>
      </c>
      <c r="B107">
        <f t="shared" si="62"/>
        <v>2019</v>
      </c>
      <c r="C107">
        <f t="shared" si="63"/>
        <v>9</v>
      </c>
      <c r="D107" s="54">
        <v>17525598.293975905</v>
      </c>
      <c r="E107" s="54">
        <v>1598997.2617911876</v>
      </c>
      <c r="F107" s="54">
        <v>19124595.555767093</v>
      </c>
      <c r="G107" s="126">
        <v>0</v>
      </c>
      <c r="H107" s="126">
        <v>167.2</v>
      </c>
      <c r="I107" s="124">
        <f t="shared" ref="I107:J107" si="108">I95</f>
        <v>0.24999999999999983</v>
      </c>
      <c r="J107" s="124">
        <f t="shared" si="108"/>
        <v>176.51</v>
      </c>
      <c r="K107" s="30">
        <v>30</v>
      </c>
      <c r="L107" s="30">
        <v>348</v>
      </c>
      <c r="M107" s="30">
        <v>3416.8</v>
      </c>
      <c r="N107" s="30">
        <v>0</v>
      </c>
      <c r="O107" s="30">
        <f t="shared" si="98"/>
        <v>19187602.803243328</v>
      </c>
      <c r="P107" s="30">
        <f t="shared" si="101"/>
        <v>17588605.54145214</v>
      </c>
      <c r="Q107" s="49">
        <f t="shared" si="99"/>
        <v>63007.247476235032</v>
      </c>
      <c r="R107" s="48">
        <f t="shared" si="66"/>
        <v>3.2945662716111642E-3</v>
      </c>
      <c r="T107" s="1"/>
      <c r="U107" s="1"/>
      <c r="V107" s="1"/>
    </row>
    <row r="108" spans="1:40" x14ac:dyDescent="0.2">
      <c r="A108" s="2">
        <v>43739</v>
      </c>
      <c r="B108">
        <f t="shared" si="62"/>
        <v>2019</v>
      </c>
      <c r="C108">
        <f t="shared" si="63"/>
        <v>10</v>
      </c>
      <c r="D108" s="54">
        <v>17638446.88192771</v>
      </c>
      <c r="E108" s="54">
        <v>1598997.2617911876</v>
      </c>
      <c r="F108" s="54">
        <v>19237444.143718898</v>
      </c>
      <c r="G108" s="126">
        <v>26.599999999999998</v>
      </c>
      <c r="H108" s="126">
        <v>21.800000000000004</v>
      </c>
      <c r="I108" s="124">
        <f t="shared" ref="I108:J108" si="109">I96</f>
        <v>44.309999999999995</v>
      </c>
      <c r="J108" s="124">
        <f t="shared" si="109"/>
        <v>43.36</v>
      </c>
      <c r="K108" s="30">
        <v>31</v>
      </c>
      <c r="L108" s="30">
        <v>351</v>
      </c>
      <c r="M108" s="30">
        <v>3419.9</v>
      </c>
      <c r="N108" s="30">
        <v>0</v>
      </c>
      <c r="O108" s="30">
        <f t="shared" si="98"/>
        <v>19472409.232203707</v>
      </c>
      <c r="P108" s="30">
        <f t="shared" si="101"/>
        <v>17873411.970412519</v>
      </c>
      <c r="Q108" s="49">
        <f t="shared" si="99"/>
        <v>234965.0884848088</v>
      </c>
      <c r="R108" s="48">
        <f t="shared" si="66"/>
        <v>1.2213945196120339E-2</v>
      </c>
      <c r="S108" s="39"/>
      <c r="T108" s="1"/>
      <c r="U108" s="1"/>
      <c r="V108" s="1"/>
    </row>
    <row r="109" spans="1:40" x14ac:dyDescent="0.2">
      <c r="A109" s="2">
        <v>43770</v>
      </c>
      <c r="B109">
        <f t="shared" si="62"/>
        <v>2019</v>
      </c>
      <c r="C109">
        <f t="shared" si="63"/>
        <v>11</v>
      </c>
      <c r="D109" s="54">
        <v>18056629.359036144</v>
      </c>
      <c r="E109" s="54">
        <v>1598997.2617911876</v>
      </c>
      <c r="F109" s="54">
        <v>19655626.620827332</v>
      </c>
      <c r="G109" s="126">
        <v>273.3</v>
      </c>
      <c r="H109" s="126">
        <v>0</v>
      </c>
      <c r="I109" s="124">
        <f t="shared" ref="I109:J109" si="110">I97</f>
        <v>193.95999999999998</v>
      </c>
      <c r="J109" s="124">
        <f t="shared" si="110"/>
        <v>2.7399999999999998</v>
      </c>
      <c r="K109" s="30">
        <v>30</v>
      </c>
      <c r="L109" s="30">
        <v>353</v>
      </c>
      <c r="M109" s="30">
        <v>3426.4</v>
      </c>
      <c r="N109" s="30">
        <v>0</v>
      </c>
      <c r="O109" s="30">
        <f t="shared" si="98"/>
        <v>19261348.868782617</v>
      </c>
      <c r="P109" s="30">
        <f t="shared" si="101"/>
        <v>17662351.606991429</v>
      </c>
      <c r="Q109" s="49">
        <f t="shared" si="99"/>
        <v>-394277.75204471499</v>
      </c>
      <c r="R109" s="48">
        <f t="shared" si="66"/>
        <v>2.0059281733960783E-2</v>
      </c>
      <c r="T109" s="1"/>
      <c r="U109" s="1"/>
      <c r="V109" s="1"/>
    </row>
    <row r="110" spans="1:40" x14ac:dyDescent="0.2">
      <c r="A110" s="2">
        <v>43800</v>
      </c>
      <c r="B110">
        <f t="shared" si="62"/>
        <v>2019</v>
      </c>
      <c r="C110">
        <f t="shared" si="63"/>
        <v>12</v>
      </c>
      <c r="D110" s="54">
        <v>19169682.92048192</v>
      </c>
      <c r="E110" s="54">
        <v>1598997.2617911876</v>
      </c>
      <c r="F110" s="54">
        <v>20768680.182273109</v>
      </c>
      <c r="G110" s="126">
        <v>334.4</v>
      </c>
      <c r="H110" s="126">
        <v>0</v>
      </c>
      <c r="I110" s="124">
        <f t="shared" ref="I110:J110" si="111">I98</f>
        <v>327.48000000000008</v>
      </c>
      <c r="J110" s="124">
        <f t="shared" si="111"/>
        <v>0</v>
      </c>
      <c r="K110" s="30">
        <v>31</v>
      </c>
      <c r="L110" s="30">
        <v>353</v>
      </c>
      <c r="M110" s="30">
        <v>3428.7</v>
      </c>
      <c r="N110" s="30">
        <v>0</v>
      </c>
      <c r="O110" s="30">
        <f t="shared" si="98"/>
        <v>20732707.454624277</v>
      </c>
      <c r="P110" s="30">
        <f t="shared" si="101"/>
        <v>19133710.192833088</v>
      </c>
      <c r="Q110" s="49">
        <f t="shared" si="99"/>
        <v>-35972.727648831904</v>
      </c>
      <c r="R110" s="48">
        <f t="shared" si="66"/>
        <v>1.7320661367560589E-3</v>
      </c>
      <c r="S110" s="39"/>
      <c r="T110" s="1"/>
      <c r="U110" s="1"/>
      <c r="V110" s="1"/>
    </row>
    <row r="111" spans="1:40" x14ac:dyDescent="0.2">
      <c r="A111" s="2">
        <v>43831</v>
      </c>
      <c r="B111">
        <f t="shared" si="62"/>
        <v>2020</v>
      </c>
      <c r="C111">
        <f t="shared" si="63"/>
        <v>1</v>
      </c>
      <c r="D111" s="54">
        <v>20604412.97349399</v>
      </c>
      <c r="E111" s="54">
        <v>1636084.1636250485</v>
      </c>
      <c r="F111" s="54">
        <v>22240497.13711904</v>
      </c>
      <c r="G111" s="126">
        <v>357</v>
      </c>
      <c r="H111" s="126">
        <v>0</v>
      </c>
      <c r="I111" s="124">
        <f t="shared" ref="I111:J111" si="112">I99</f>
        <v>439.5</v>
      </c>
      <c r="J111" s="124">
        <f t="shared" si="112"/>
        <v>0</v>
      </c>
      <c r="K111" s="30">
        <v>31</v>
      </c>
      <c r="L111" s="30">
        <v>351</v>
      </c>
      <c r="M111" s="30">
        <v>3450.5</v>
      </c>
      <c r="N111" s="30">
        <v>0</v>
      </c>
      <c r="O111" s="30">
        <f t="shared" si="98"/>
        <v>22669362.748539362</v>
      </c>
      <c r="P111" s="30">
        <f t="shared" si="101"/>
        <v>21033278.584914312</v>
      </c>
      <c r="Q111" s="49">
        <f t="shared" si="99"/>
        <v>428865.61142032221</v>
      </c>
      <c r="R111" s="48">
        <f t="shared" si="66"/>
        <v>1.9283094652796779E-2</v>
      </c>
      <c r="S111" s="39"/>
      <c r="AF111" s="37"/>
      <c r="AG111" s="37"/>
      <c r="AH111" s="37"/>
    </row>
    <row r="112" spans="1:40" x14ac:dyDescent="0.2">
      <c r="A112" s="2">
        <v>43862</v>
      </c>
      <c r="B112">
        <f t="shared" si="62"/>
        <v>2020</v>
      </c>
      <c r="C112">
        <f t="shared" si="63"/>
        <v>2</v>
      </c>
      <c r="D112" s="54">
        <v>18719034.313253012</v>
      </c>
      <c r="E112" s="54">
        <v>1636084.1636250485</v>
      </c>
      <c r="F112" s="54">
        <v>20355118.476878062</v>
      </c>
      <c r="G112" s="126">
        <v>379.79999999999995</v>
      </c>
      <c r="H112" s="126">
        <v>0</v>
      </c>
      <c r="I112" s="124">
        <f t="shared" ref="I112:J112" si="113">I100</f>
        <v>403.5</v>
      </c>
      <c r="J112" s="124">
        <f t="shared" si="113"/>
        <v>0</v>
      </c>
      <c r="K112" s="30">
        <v>29</v>
      </c>
      <c r="L112" s="30">
        <v>352</v>
      </c>
      <c r="M112" s="30">
        <v>3456.6</v>
      </c>
      <c r="N112" s="30">
        <v>0</v>
      </c>
      <c r="O112" s="30">
        <f t="shared" si="98"/>
        <v>20478319.870704263</v>
      </c>
      <c r="P112" s="30">
        <f t="shared" si="101"/>
        <v>18842235.707079217</v>
      </c>
      <c r="Q112" s="49">
        <f t="shared" si="99"/>
        <v>123201.39382620156</v>
      </c>
      <c r="R112" s="48">
        <f t="shared" si="66"/>
        <v>6.052600183396103E-3</v>
      </c>
      <c r="S112" s="39"/>
    </row>
    <row r="113" spans="1:19" x14ac:dyDescent="0.2">
      <c r="A113" s="2">
        <v>43891</v>
      </c>
      <c r="B113">
        <f t="shared" si="62"/>
        <v>2020</v>
      </c>
      <c r="C113">
        <f t="shared" si="63"/>
        <v>3</v>
      </c>
      <c r="D113" s="54">
        <v>18127337.445783131</v>
      </c>
      <c r="E113" s="54">
        <v>1636084.1636250485</v>
      </c>
      <c r="F113" s="54">
        <v>19763421.609408177</v>
      </c>
      <c r="G113" s="126">
        <v>214.70000000000005</v>
      </c>
      <c r="H113" s="126">
        <v>0.5</v>
      </c>
      <c r="I113" s="124">
        <f t="shared" ref="I113:J113" si="114">I101</f>
        <v>291.06</v>
      </c>
      <c r="J113" s="124">
        <f t="shared" si="114"/>
        <v>2.8099999999999996</v>
      </c>
      <c r="K113" s="30">
        <v>31</v>
      </c>
      <c r="L113" s="30">
        <v>352</v>
      </c>
      <c r="M113" s="30">
        <v>3387</v>
      </c>
      <c r="N113" s="127">
        <v>0.5</v>
      </c>
      <c r="O113" s="30">
        <f t="shared" si="98"/>
        <v>20175680.144443154</v>
      </c>
      <c r="P113" s="30">
        <f t="shared" si="101"/>
        <v>18539595.980818108</v>
      </c>
      <c r="Q113" s="49">
        <f t="shared" si="99"/>
        <v>412258.5350349769</v>
      </c>
      <c r="R113" s="48">
        <f t="shared" si="66"/>
        <v>2.0859674158786624E-2</v>
      </c>
      <c r="S113" s="39"/>
    </row>
    <row r="114" spans="1:19" x14ac:dyDescent="0.2">
      <c r="A114" s="2">
        <v>43922</v>
      </c>
      <c r="B114">
        <f t="shared" si="62"/>
        <v>2020</v>
      </c>
      <c r="C114">
        <f t="shared" si="63"/>
        <v>4</v>
      </c>
      <c r="D114" s="54">
        <v>15453046.390361452</v>
      </c>
      <c r="E114" s="54">
        <v>1636084.1636250485</v>
      </c>
      <c r="F114" s="54">
        <v>17089130.553986501</v>
      </c>
      <c r="G114" s="126">
        <v>125.50000000000001</v>
      </c>
      <c r="H114" s="126">
        <v>0</v>
      </c>
      <c r="I114" s="124">
        <f t="shared" ref="I114:J114" si="115">I102</f>
        <v>120.71999999999998</v>
      </c>
      <c r="J114" s="124">
        <f t="shared" si="115"/>
        <v>6.58</v>
      </c>
      <c r="K114" s="30">
        <v>30</v>
      </c>
      <c r="L114" s="30">
        <v>351</v>
      </c>
      <c r="M114" s="30">
        <v>3205.9</v>
      </c>
      <c r="N114" s="127">
        <v>1</v>
      </c>
      <c r="O114" s="30">
        <f t="shared" si="98"/>
        <v>17107895.269275222</v>
      </c>
      <c r="P114" s="30">
        <f t="shared" si="101"/>
        <v>15471811.105650174</v>
      </c>
      <c r="Q114" s="49">
        <f t="shared" si="99"/>
        <v>18764.715288721025</v>
      </c>
      <c r="R114" s="48">
        <f t="shared" si="66"/>
        <v>1.0980497357335507E-3</v>
      </c>
      <c r="S114" s="39"/>
    </row>
    <row r="115" spans="1:19" x14ac:dyDescent="0.2">
      <c r="A115" s="2">
        <v>43952</v>
      </c>
      <c r="B115">
        <f t="shared" si="62"/>
        <v>2020</v>
      </c>
      <c r="C115">
        <f t="shared" si="63"/>
        <v>5</v>
      </c>
      <c r="D115" s="54">
        <v>15454141.214457823</v>
      </c>
      <c r="E115" s="54">
        <v>1636084.1636250485</v>
      </c>
      <c r="F115" s="54">
        <v>17090225.378082871</v>
      </c>
      <c r="G115" s="126">
        <v>57.5</v>
      </c>
      <c r="H115" s="126">
        <v>84.300000000000011</v>
      </c>
      <c r="I115" s="124">
        <f t="shared" ref="I115:J115" si="116">I103</f>
        <v>16.330000000000002</v>
      </c>
      <c r="J115" s="124">
        <f t="shared" si="116"/>
        <v>107.25</v>
      </c>
      <c r="K115" s="30">
        <v>31</v>
      </c>
      <c r="L115" s="30">
        <v>353</v>
      </c>
      <c r="M115" s="30">
        <v>3004.2</v>
      </c>
      <c r="N115" s="127">
        <v>1</v>
      </c>
      <c r="O115" s="30">
        <f t="shared" si="98"/>
        <v>17028323.444816392</v>
      </c>
      <c r="P115" s="30">
        <f t="shared" si="101"/>
        <v>15392239.281191343</v>
      </c>
      <c r="Q115" s="49">
        <f t="shared" si="99"/>
        <v>-61901.933266479522</v>
      </c>
      <c r="R115" s="48">
        <f t="shared" si="66"/>
        <v>3.6220665261597323E-3</v>
      </c>
      <c r="S115" s="39"/>
    </row>
    <row r="116" spans="1:19" x14ac:dyDescent="0.2">
      <c r="A116" s="2">
        <v>43983</v>
      </c>
      <c r="B116">
        <f t="shared" si="62"/>
        <v>2020</v>
      </c>
      <c r="C116">
        <f t="shared" si="63"/>
        <v>6</v>
      </c>
      <c r="D116" s="54">
        <v>16762170.409638558</v>
      </c>
      <c r="E116" s="54">
        <v>1636084.1636250485</v>
      </c>
      <c r="F116" s="54">
        <v>18398254.573263608</v>
      </c>
      <c r="G116" s="126">
        <v>0</v>
      </c>
      <c r="H116" s="126">
        <v>253.90000000000003</v>
      </c>
      <c r="I116" s="124">
        <f t="shared" ref="I116:J116" si="117">I104</f>
        <v>0</v>
      </c>
      <c r="J116" s="124">
        <f t="shared" si="117"/>
        <v>230.10000000000005</v>
      </c>
      <c r="K116" s="30">
        <v>30</v>
      </c>
      <c r="L116" s="30">
        <v>349</v>
      </c>
      <c r="M116" s="30">
        <v>2937.8</v>
      </c>
      <c r="N116" s="127">
        <v>0.5</v>
      </c>
      <c r="O116" s="30">
        <f t="shared" si="98"/>
        <v>18240505.68151262</v>
      </c>
      <c r="P116" s="30">
        <f t="shared" si="101"/>
        <v>16604421.517887572</v>
      </c>
      <c r="Q116" s="49">
        <f t="shared" si="99"/>
        <v>-157748.89175098762</v>
      </c>
      <c r="R116" s="48">
        <f t="shared" si="66"/>
        <v>8.5741226768450488E-3</v>
      </c>
      <c r="S116" s="39"/>
    </row>
    <row r="117" spans="1:19" x14ac:dyDescent="0.2">
      <c r="A117" s="2">
        <v>44013</v>
      </c>
      <c r="B117">
        <f t="shared" si="62"/>
        <v>2020</v>
      </c>
      <c r="C117">
        <f t="shared" si="63"/>
        <v>7</v>
      </c>
      <c r="D117" s="54">
        <v>18797709.561445773</v>
      </c>
      <c r="E117" s="54">
        <v>1636084.1636250485</v>
      </c>
      <c r="F117" s="54">
        <v>20433793.725070819</v>
      </c>
      <c r="G117" s="126">
        <v>0</v>
      </c>
      <c r="H117" s="126">
        <v>401.70000000000005</v>
      </c>
      <c r="I117" s="124">
        <f t="shared" ref="I117:J117" si="118">I105</f>
        <v>0</v>
      </c>
      <c r="J117" s="124">
        <f t="shared" si="118"/>
        <v>331.41</v>
      </c>
      <c r="K117" s="30">
        <v>31</v>
      </c>
      <c r="L117" s="30">
        <v>351</v>
      </c>
      <c r="M117" s="30">
        <v>2995.2</v>
      </c>
      <c r="N117" s="127">
        <v>0.5</v>
      </c>
      <c r="O117" s="30">
        <f t="shared" si="98"/>
        <v>19967904.246029768</v>
      </c>
      <c r="P117" s="30">
        <f t="shared" si="101"/>
        <v>18331820.082404718</v>
      </c>
      <c r="Q117" s="49">
        <f t="shared" si="99"/>
        <v>-465889.47904105112</v>
      </c>
      <c r="R117" s="48">
        <f t="shared" si="66"/>
        <v>2.2799950185923512E-2</v>
      </c>
      <c r="S117" s="39"/>
    </row>
    <row r="118" spans="1:19" x14ac:dyDescent="0.2">
      <c r="A118" s="2">
        <v>44044</v>
      </c>
      <c r="B118">
        <f t="shared" si="62"/>
        <v>2020</v>
      </c>
      <c r="C118">
        <f t="shared" si="63"/>
        <v>8</v>
      </c>
      <c r="D118" s="54">
        <v>17872126.101204827</v>
      </c>
      <c r="E118" s="54">
        <v>1636084.1636250485</v>
      </c>
      <c r="F118" s="54">
        <v>19508210.264829874</v>
      </c>
      <c r="G118" s="126">
        <v>0</v>
      </c>
      <c r="H118" s="126">
        <v>311.89999999999998</v>
      </c>
      <c r="I118" s="124">
        <f t="shared" ref="I118:J118" si="119">I106</f>
        <v>0</v>
      </c>
      <c r="J118" s="124">
        <f t="shared" si="119"/>
        <v>304.46000000000004</v>
      </c>
      <c r="K118" s="30">
        <v>31</v>
      </c>
      <c r="L118" s="30">
        <v>353</v>
      </c>
      <c r="M118" s="30">
        <v>3117.5</v>
      </c>
      <c r="N118" s="127">
        <v>0.5</v>
      </c>
      <c r="O118" s="30">
        <f t="shared" si="98"/>
        <v>19458897.16589595</v>
      </c>
      <c r="P118" s="30">
        <f t="shared" si="101"/>
        <v>17822813.0022709</v>
      </c>
      <c r="Q118" s="49">
        <f t="shared" si="99"/>
        <v>-49313.09893392399</v>
      </c>
      <c r="R118" s="48">
        <f t="shared" si="66"/>
        <v>2.527812560172548E-3</v>
      </c>
      <c r="S118" s="39"/>
    </row>
    <row r="119" spans="1:19" x14ac:dyDescent="0.2">
      <c r="A119" s="2">
        <v>44075</v>
      </c>
      <c r="B119">
        <f t="shared" si="62"/>
        <v>2020</v>
      </c>
      <c r="C119">
        <f t="shared" si="63"/>
        <v>9</v>
      </c>
      <c r="D119" s="54">
        <v>16777886.004819278</v>
      </c>
      <c r="E119" s="54">
        <v>1636084.1636250485</v>
      </c>
      <c r="F119" s="54">
        <v>18413970.168444328</v>
      </c>
      <c r="G119" s="126">
        <v>1.1999999999999993</v>
      </c>
      <c r="H119" s="126">
        <v>148.99999999999997</v>
      </c>
      <c r="I119" s="124">
        <f t="shared" ref="I119:J119" si="120">I107</f>
        <v>0.24999999999999983</v>
      </c>
      <c r="J119" s="124">
        <f t="shared" si="120"/>
        <v>176.51</v>
      </c>
      <c r="K119" s="30">
        <v>30</v>
      </c>
      <c r="L119" s="30">
        <v>353</v>
      </c>
      <c r="M119" s="30">
        <v>3214</v>
      </c>
      <c r="N119" s="127">
        <v>0.5</v>
      </c>
      <c r="O119" s="30">
        <f t="shared" si="98"/>
        <v>18591370.87612018</v>
      </c>
      <c r="P119" s="30">
        <f t="shared" si="101"/>
        <v>16955286.712495133</v>
      </c>
      <c r="Q119" s="49">
        <f t="shared" si="99"/>
        <v>177400.70767585188</v>
      </c>
      <c r="R119" s="48">
        <f t="shared" si="66"/>
        <v>9.6340281890898317E-3</v>
      </c>
      <c r="S119" s="39"/>
    </row>
    <row r="120" spans="1:19" x14ac:dyDescent="0.2">
      <c r="A120" s="2">
        <v>44105</v>
      </c>
      <c r="B120">
        <f t="shared" si="62"/>
        <v>2020</v>
      </c>
      <c r="C120">
        <f t="shared" si="63"/>
        <v>10</v>
      </c>
      <c r="D120" s="54">
        <v>16717313.840963854</v>
      </c>
      <c r="E120" s="54">
        <v>1636084.1636250485</v>
      </c>
      <c r="F120" s="54">
        <v>18353398.004588902</v>
      </c>
      <c r="G120" s="126">
        <v>60.7</v>
      </c>
      <c r="H120" s="126">
        <v>14.599999999999998</v>
      </c>
      <c r="I120" s="124">
        <f t="shared" ref="I120:J120" si="121">I108</f>
        <v>44.309999999999995</v>
      </c>
      <c r="J120" s="124">
        <f t="shared" si="121"/>
        <v>43.36</v>
      </c>
      <c r="K120" s="30">
        <v>31</v>
      </c>
      <c r="L120" s="30">
        <v>353</v>
      </c>
      <c r="M120" s="30">
        <v>3300.1</v>
      </c>
      <c r="N120" s="127">
        <v>0.5</v>
      </c>
      <c r="O120" s="30">
        <f t="shared" si="98"/>
        <v>18458820.994160336</v>
      </c>
      <c r="P120" s="30">
        <f t="shared" si="101"/>
        <v>16822736.830535285</v>
      </c>
      <c r="Q120" s="49">
        <f t="shared" si="99"/>
        <v>105422.98957143351</v>
      </c>
      <c r="R120" s="48">
        <f t="shared" si="66"/>
        <v>5.744058377913158E-3</v>
      </c>
      <c r="S120" s="39"/>
    </row>
    <row r="121" spans="1:19" x14ac:dyDescent="0.2">
      <c r="A121" s="2">
        <v>44136</v>
      </c>
      <c r="B121">
        <f t="shared" si="62"/>
        <v>2020</v>
      </c>
      <c r="C121">
        <f t="shared" si="63"/>
        <v>11</v>
      </c>
      <c r="D121" s="54">
        <v>16714084.106024083</v>
      </c>
      <c r="E121" s="54">
        <v>1636084.1636250485</v>
      </c>
      <c r="F121" s="54">
        <v>18350168.269649133</v>
      </c>
      <c r="G121" s="126">
        <v>127.39999999999999</v>
      </c>
      <c r="H121" s="126">
        <v>16</v>
      </c>
      <c r="I121" s="124">
        <f t="shared" ref="I121:J121" si="122">I109</f>
        <v>193.95999999999998</v>
      </c>
      <c r="J121" s="124">
        <f t="shared" si="122"/>
        <v>2.7399999999999998</v>
      </c>
      <c r="K121" s="30">
        <v>30</v>
      </c>
      <c r="L121" s="30">
        <v>357</v>
      </c>
      <c r="M121" s="30">
        <v>3351.5</v>
      </c>
      <c r="N121" s="127">
        <v>0.5</v>
      </c>
      <c r="O121" s="30">
        <f t="shared" si="98"/>
        <v>18608283.178310737</v>
      </c>
      <c r="P121" s="30">
        <f t="shared" si="101"/>
        <v>16972199.01468569</v>
      </c>
      <c r="Q121" s="49">
        <f t="shared" si="99"/>
        <v>258114.90866160393</v>
      </c>
      <c r="R121" s="48">
        <f t="shared" si="66"/>
        <v>1.406607857043587E-2</v>
      </c>
      <c r="S121" s="39"/>
    </row>
    <row r="122" spans="1:19" x14ac:dyDescent="0.2">
      <c r="A122" s="2">
        <v>44166</v>
      </c>
      <c r="B122">
        <f t="shared" si="62"/>
        <v>2020</v>
      </c>
      <c r="C122">
        <f t="shared" si="63"/>
        <v>12</v>
      </c>
      <c r="D122" s="54">
        <v>17734017.175903622</v>
      </c>
      <c r="E122" s="54">
        <v>1636084.1636250485</v>
      </c>
      <c r="F122" s="54">
        <v>19370101.339528672</v>
      </c>
      <c r="G122" s="126">
        <v>319.30000000000007</v>
      </c>
      <c r="H122" s="126">
        <v>0</v>
      </c>
      <c r="I122" s="124">
        <f t="shared" ref="I122:J122" si="123">I110</f>
        <v>327.48000000000008</v>
      </c>
      <c r="J122" s="124">
        <f t="shared" si="123"/>
        <v>0</v>
      </c>
      <c r="K122" s="30">
        <v>31</v>
      </c>
      <c r="L122" s="30">
        <v>358</v>
      </c>
      <c r="M122" s="30">
        <v>3348.3</v>
      </c>
      <c r="N122" s="127">
        <v>0.5</v>
      </c>
      <c r="O122" s="30">
        <f t="shared" si="98"/>
        <v>19412624.014697377</v>
      </c>
      <c r="P122" s="30">
        <f t="shared" si="101"/>
        <v>17776539.851072326</v>
      </c>
      <c r="Q122" s="49">
        <f t="shared" si="99"/>
        <v>42522.675168704242</v>
      </c>
      <c r="R122" s="48">
        <f t="shared" si="66"/>
        <v>2.1952737584252069E-3</v>
      </c>
      <c r="S122" s="39"/>
    </row>
    <row r="123" spans="1:19" x14ac:dyDescent="0.2">
      <c r="A123" s="2">
        <v>44197</v>
      </c>
      <c r="B123">
        <f t="shared" si="62"/>
        <v>2021</v>
      </c>
      <c r="C123">
        <f t="shared" si="63"/>
        <v>1</v>
      </c>
      <c r="D123" s="54">
        <v>19055053.03132531</v>
      </c>
      <c r="E123" s="54">
        <v>1606787.8429761296</v>
      </c>
      <c r="F123" s="54">
        <v>20661840.874301441</v>
      </c>
      <c r="G123" s="126">
        <v>392</v>
      </c>
      <c r="H123" s="126">
        <v>0</v>
      </c>
      <c r="I123" s="124">
        <f t="shared" ref="I123:J123" si="124">I111</f>
        <v>439.5</v>
      </c>
      <c r="J123" s="124">
        <f t="shared" si="124"/>
        <v>0</v>
      </c>
      <c r="K123" s="30">
        <v>31</v>
      </c>
      <c r="L123" s="30">
        <v>359</v>
      </c>
      <c r="M123" s="30">
        <v>3310.5</v>
      </c>
      <c r="N123" s="127">
        <v>0.5</v>
      </c>
      <c r="O123" s="30">
        <f t="shared" si="98"/>
        <v>20908763.499058597</v>
      </c>
      <c r="P123" s="30">
        <f t="shared" si="101"/>
        <v>19301975.656082466</v>
      </c>
      <c r="Q123" s="49">
        <f t="shared" si="99"/>
        <v>246922.62475715578</v>
      </c>
      <c r="R123" s="48">
        <f t="shared" si="66"/>
        <v>1.1950659491539813E-2</v>
      </c>
    </row>
    <row r="124" spans="1:19" x14ac:dyDescent="0.2">
      <c r="A124" s="2">
        <v>44228</v>
      </c>
      <c r="B124">
        <f t="shared" si="62"/>
        <v>2021</v>
      </c>
      <c r="C124">
        <f t="shared" si="63"/>
        <v>2</v>
      </c>
      <c r="D124" s="54">
        <v>17768826.322891563</v>
      </c>
      <c r="E124" s="54">
        <v>1606787.8429761296</v>
      </c>
      <c r="F124" s="54">
        <v>19375614.165867694</v>
      </c>
      <c r="G124" s="126">
        <v>429.7</v>
      </c>
      <c r="H124" s="126">
        <v>0</v>
      </c>
      <c r="I124" s="124">
        <f t="shared" ref="I124:J124" si="125">I112</f>
        <v>403.5</v>
      </c>
      <c r="J124" s="124">
        <f t="shared" si="125"/>
        <v>0</v>
      </c>
      <c r="K124" s="30">
        <v>28</v>
      </c>
      <c r="L124" s="30">
        <v>359</v>
      </c>
      <c r="M124" s="30">
        <v>3272.2</v>
      </c>
      <c r="N124" s="127">
        <v>0.5</v>
      </c>
      <c r="O124" s="30">
        <f t="shared" si="98"/>
        <v>19239416.844422694</v>
      </c>
      <c r="P124" s="30">
        <f t="shared" si="101"/>
        <v>17632629.001446564</v>
      </c>
      <c r="Q124" s="49">
        <f t="shared" si="99"/>
        <v>-136197.32144499943</v>
      </c>
      <c r="R124" s="48">
        <f t="shared" si="66"/>
        <v>7.0293163498747931E-3</v>
      </c>
    </row>
    <row r="125" spans="1:19" x14ac:dyDescent="0.2">
      <c r="A125" s="2">
        <v>44256</v>
      </c>
      <c r="B125">
        <f t="shared" si="62"/>
        <v>2021</v>
      </c>
      <c r="C125">
        <f t="shared" si="63"/>
        <v>3</v>
      </c>
      <c r="D125" s="54">
        <v>17829411.836144578</v>
      </c>
      <c r="E125" s="54">
        <v>1606787.8429761296</v>
      </c>
      <c r="F125" s="54">
        <v>19436199.679120708</v>
      </c>
      <c r="G125" s="126">
        <v>222.10000000000002</v>
      </c>
      <c r="H125" s="126">
        <v>3</v>
      </c>
      <c r="I125" s="124">
        <f t="shared" ref="I125:J125" si="126">I113</f>
        <v>291.06</v>
      </c>
      <c r="J125" s="124">
        <f t="shared" si="126"/>
        <v>2.8099999999999996</v>
      </c>
      <c r="K125" s="30">
        <v>31</v>
      </c>
      <c r="L125" s="30">
        <v>359</v>
      </c>
      <c r="M125" s="30">
        <v>3271.6</v>
      </c>
      <c r="N125" s="127">
        <v>0.5</v>
      </c>
      <c r="O125" s="30">
        <f t="shared" si="98"/>
        <v>19793420.006665494</v>
      </c>
      <c r="P125" s="30">
        <f t="shared" si="101"/>
        <v>18186632.163689364</v>
      </c>
      <c r="Q125" s="49">
        <f t="shared" si="99"/>
        <v>357220.32754478604</v>
      </c>
      <c r="R125" s="48">
        <f t="shared" si="66"/>
        <v>1.8379124182827219E-2</v>
      </c>
    </row>
    <row r="126" spans="1:19" x14ac:dyDescent="0.2">
      <c r="A126" s="2">
        <v>44287</v>
      </c>
      <c r="B126">
        <f t="shared" si="62"/>
        <v>2021</v>
      </c>
      <c r="C126">
        <f t="shared" si="63"/>
        <v>4</v>
      </c>
      <c r="D126" s="54">
        <v>16123617.619277105</v>
      </c>
      <c r="E126" s="54">
        <v>1606787.8429761296</v>
      </c>
      <c r="F126" s="54">
        <v>17730405.462253235</v>
      </c>
      <c r="G126" s="126">
        <v>87.600000000000023</v>
      </c>
      <c r="H126" s="126">
        <v>11.9</v>
      </c>
      <c r="I126" s="124">
        <f t="shared" ref="I126:J126" si="127">I114</f>
        <v>120.71999999999998</v>
      </c>
      <c r="J126" s="124">
        <f t="shared" si="127"/>
        <v>6.58</v>
      </c>
      <c r="K126" s="30">
        <v>30</v>
      </c>
      <c r="L126" s="30">
        <v>359</v>
      </c>
      <c r="M126" s="30">
        <v>3276.5</v>
      </c>
      <c r="N126" s="127">
        <v>0.5</v>
      </c>
      <c r="O126" s="30">
        <f t="shared" si="98"/>
        <v>17867313.994367436</v>
      </c>
      <c r="P126" s="30">
        <f t="shared" si="101"/>
        <v>16260526.151391305</v>
      </c>
      <c r="Q126" s="49">
        <f t="shared" si="99"/>
        <v>136908.53211420029</v>
      </c>
      <c r="R126" s="48">
        <f t="shared" si="66"/>
        <v>7.7216808383580825E-3</v>
      </c>
    </row>
    <row r="127" spans="1:19" x14ac:dyDescent="0.2">
      <c r="A127" s="2">
        <v>44317</v>
      </c>
      <c r="B127">
        <f t="shared" si="62"/>
        <v>2021</v>
      </c>
      <c r="C127">
        <f t="shared" si="63"/>
        <v>5</v>
      </c>
      <c r="D127" s="54">
        <v>16293057.002409624</v>
      </c>
      <c r="E127" s="54">
        <v>1606787.8429761296</v>
      </c>
      <c r="F127" s="54">
        <v>17899844.845385753</v>
      </c>
      <c r="G127" s="126">
        <v>25.399999999999995</v>
      </c>
      <c r="H127" s="126">
        <v>99.40000000000002</v>
      </c>
      <c r="I127" s="124">
        <f t="shared" ref="I127:J127" si="128">I115</f>
        <v>16.330000000000002</v>
      </c>
      <c r="J127" s="124">
        <f t="shared" si="128"/>
        <v>107.25</v>
      </c>
      <c r="K127" s="30">
        <v>31</v>
      </c>
      <c r="L127" s="30">
        <v>359</v>
      </c>
      <c r="M127" s="30">
        <v>3278.1</v>
      </c>
      <c r="N127" s="127">
        <v>0.5</v>
      </c>
      <c r="O127" s="30">
        <f t="shared" si="98"/>
        <v>17904726.241843797</v>
      </c>
      <c r="P127" s="30">
        <f t="shared" si="101"/>
        <v>16297938.398867667</v>
      </c>
      <c r="Q127" s="49">
        <f t="shared" si="99"/>
        <v>4881.3964580446482</v>
      </c>
      <c r="R127" s="48">
        <f t="shared" si="66"/>
        <v>2.7270607651680185E-4</v>
      </c>
    </row>
    <row r="128" spans="1:19" x14ac:dyDescent="0.2">
      <c r="A128" s="2">
        <v>44348</v>
      </c>
      <c r="B128">
        <f t="shared" ref="B128:B134" si="129">YEAR(A128)</f>
        <v>2021</v>
      </c>
      <c r="C128">
        <f t="shared" ref="C128:C134" si="130">MONTH(A128)</f>
        <v>6</v>
      </c>
      <c r="D128" s="54">
        <v>17880539.209638555</v>
      </c>
      <c r="E128" s="54">
        <v>1606787.8429761296</v>
      </c>
      <c r="F128" s="54">
        <v>19487327.052614685</v>
      </c>
      <c r="G128" s="126">
        <v>0</v>
      </c>
      <c r="H128" s="126">
        <v>295.00000000000006</v>
      </c>
      <c r="I128" s="124">
        <f t="shared" ref="I128:J128" si="131">I116</f>
        <v>0</v>
      </c>
      <c r="J128" s="124">
        <f t="shared" si="131"/>
        <v>230.10000000000005</v>
      </c>
      <c r="K128" s="30">
        <v>30</v>
      </c>
      <c r="L128" s="30">
        <v>360</v>
      </c>
      <c r="M128" s="30">
        <v>3288.5</v>
      </c>
      <c r="N128" s="127">
        <v>0.5</v>
      </c>
      <c r="O128" s="30">
        <f t="shared" si="98"/>
        <v>19057163.057881948</v>
      </c>
      <c r="P128" s="30">
        <f t="shared" ref="P128:P134" si="132">O128-E128</f>
        <v>17450375.214905817</v>
      </c>
      <c r="Q128" s="49">
        <f t="shared" ref="Q128:Q134" si="133">+O128-F128</f>
        <v>-430163.99473273754</v>
      </c>
      <c r="R128" s="48">
        <f t="shared" ref="R128:R134" si="134">ABS(Q128/F128)</f>
        <v>2.2074037838607573E-2</v>
      </c>
    </row>
    <row r="129" spans="1:20" x14ac:dyDescent="0.2">
      <c r="A129" s="2">
        <v>44378</v>
      </c>
      <c r="B129">
        <f t="shared" si="129"/>
        <v>2021</v>
      </c>
      <c r="C129">
        <f t="shared" si="130"/>
        <v>7</v>
      </c>
      <c r="D129" s="54">
        <v>18099821.706024084</v>
      </c>
      <c r="E129" s="54">
        <v>1606787.8429761296</v>
      </c>
      <c r="F129" s="54">
        <v>19706609.549000215</v>
      </c>
      <c r="G129" s="126">
        <v>0</v>
      </c>
      <c r="H129" s="126">
        <v>290.3</v>
      </c>
      <c r="I129" s="124">
        <f t="shared" ref="I129:J129" si="135">I117</f>
        <v>0</v>
      </c>
      <c r="J129" s="124">
        <f t="shared" si="135"/>
        <v>331.41</v>
      </c>
      <c r="K129" s="30">
        <v>31</v>
      </c>
      <c r="L129" s="30">
        <v>360</v>
      </c>
      <c r="M129" s="30">
        <v>3332.9</v>
      </c>
      <c r="N129" s="127">
        <v>0.5</v>
      </c>
      <c r="O129" s="30">
        <f t="shared" si="98"/>
        <v>19979090.933028918</v>
      </c>
      <c r="P129" s="30">
        <f t="shared" si="132"/>
        <v>18372303.090052787</v>
      </c>
      <c r="Q129" s="49">
        <f t="shared" si="133"/>
        <v>272481.38402870297</v>
      </c>
      <c r="R129" s="48">
        <f t="shared" si="134"/>
        <v>1.3826903270762114E-2</v>
      </c>
    </row>
    <row r="130" spans="1:20" x14ac:dyDescent="0.2">
      <c r="A130" s="2">
        <v>44409</v>
      </c>
      <c r="B130">
        <f t="shared" si="129"/>
        <v>2021</v>
      </c>
      <c r="C130">
        <f t="shared" si="130"/>
        <v>8</v>
      </c>
      <c r="D130" s="54">
        <v>19993946.689156614</v>
      </c>
      <c r="E130" s="54">
        <v>1606787.8429761296</v>
      </c>
      <c r="F130" s="54">
        <v>21600734.532132745</v>
      </c>
      <c r="G130" s="126">
        <v>0</v>
      </c>
      <c r="H130" s="126">
        <v>365.40000000000003</v>
      </c>
      <c r="I130" s="124">
        <f t="shared" ref="I130:J130" si="136">I118</f>
        <v>0</v>
      </c>
      <c r="J130" s="124">
        <f t="shared" si="136"/>
        <v>304.46000000000004</v>
      </c>
      <c r="K130" s="30">
        <v>31</v>
      </c>
      <c r="L130" s="30">
        <v>331</v>
      </c>
      <c r="M130" s="30">
        <v>3403.5</v>
      </c>
      <c r="N130" s="127">
        <v>0.5</v>
      </c>
      <c r="O130" s="30">
        <f t="shared" si="98"/>
        <v>21196817.831993867</v>
      </c>
      <c r="P130" s="30">
        <f t="shared" si="132"/>
        <v>19590029.989017736</v>
      </c>
      <c r="Q130" s="49">
        <f t="shared" si="133"/>
        <v>-403916.70013887808</v>
      </c>
      <c r="R130" s="48">
        <f t="shared" si="134"/>
        <v>1.8699211341078291E-2</v>
      </c>
    </row>
    <row r="131" spans="1:20" x14ac:dyDescent="0.2">
      <c r="A131" s="2">
        <v>44440</v>
      </c>
      <c r="B131">
        <f t="shared" si="129"/>
        <v>2021</v>
      </c>
      <c r="C131">
        <f t="shared" si="130"/>
        <v>9</v>
      </c>
      <c r="D131" s="54">
        <v>17725189.908433735</v>
      </c>
      <c r="E131" s="54">
        <v>1606787.8429761296</v>
      </c>
      <c r="F131" s="54">
        <v>19331977.751409866</v>
      </c>
      <c r="G131" s="126">
        <v>0</v>
      </c>
      <c r="H131" s="126">
        <v>169.29999999999998</v>
      </c>
      <c r="I131" s="124">
        <f t="shared" ref="I131:J131" si="137">I119</f>
        <v>0.24999999999999983</v>
      </c>
      <c r="J131" s="124">
        <f t="shared" si="137"/>
        <v>176.51</v>
      </c>
      <c r="K131" s="30">
        <v>30</v>
      </c>
      <c r="L131" s="30">
        <v>320</v>
      </c>
      <c r="M131" s="30">
        <v>3457.1</v>
      </c>
      <c r="N131" s="127">
        <v>0.5</v>
      </c>
      <c r="O131" s="30">
        <f t="shared" si="98"/>
        <v>19381065.979025722</v>
      </c>
      <c r="P131" s="30">
        <f t="shared" si="132"/>
        <v>17774278.136049591</v>
      </c>
      <c r="Q131" s="49">
        <f t="shared" si="133"/>
        <v>49088.227615855634</v>
      </c>
      <c r="R131" s="48">
        <f t="shared" si="134"/>
        <v>2.539224297021326E-3</v>
      </c>
    </row>
    <row r="132" spans="1:20" x14ac:dyDescent="0.2">
      <c r="A132" s="2">
        <v>44470</v>
      </c>
      <c r="B132">
        <f t="shared" si="129"/>
        <v>2021</v>
      </c>
      <c r="C132">
        <f t="shared" si="130"/>
        <v>10</v>
      </c>
      <c r="D132" s="54">
        <v>17543608.713253014</v>
      </c>
      <c r="E132" s="54">
        <v>1606787.8429761296</v>
      </c>
      <c r="F132" s="54">
        <v>19150396.556229144</v>
      </c>
      <c r="G132" s="126">
        <v>20.499999999999996</v>
      </c>
      <c r="H132" s="126">
        <v>86.499999999999986</v>
      </c>
      <c r="I132" s="124">
        <f t="shared" ref="I132:J132" si="138">I120</f>
        <v>44.309999999999995</v>
      </c>
      <c r="J132" s="124">
        <f t="shared" si="138"/>
        <v>43.36</v>
      </c>
      <c r="K132" s="30">
        <v>31</v>
      </c>
      <c r="L132" s="30">
        <v>320</v>
      </c>
      <c r="M132" s="30">
        <v>3499.8</v>
      </c>
      <c r="N132" s="127">
        <v>0.5</v>
      </c>
      <c r="O132" s="30">
        <f t="shared" si="98"/>
        <v>18988233.334310167</v>
      </c>
      <c r="P132" s="30">
        <f t="shared" si="132"/>
        <v>17381445.491334036</v>
      </c>
      <c r="Q132" s="49">
        <f t="shared" si="133"/>
        <v>-162163.2219189778</v>
      </c>
      <c r="R132" s="48">
        <f t="shared" si="134"/>
        <v>8.4678780119689049E-3</v>
      </c>
    </row>
    <row r="133" spans="1:20" x14ac:dyDescent="0.2">
      <c r="A133" s="2">
        <v>44501</v>
      </c>
      <c r="B133">
        <f t="shared" si="129"/>
        <v>2021</v>
      </c>
      <c r="C133">
        <f t="shared" si="130"/>
        <v>11</v>
      </c>
      <c r="D133" s="54">
        <v>17668488.221686747</v>
      </c>
      <c r="E133" s="54">
        <v>1606787.8429761296</v>
      </c>
      <c r="F133" s="54">
        <v>19275276.064662877</v>
      </c>
      <c r="G133" s="126">
        <v>175.30000000000004</v>
      </c>
      <c r="H133" s="126">
        <v>0</v>
      </c>
      <c r="I133" s="124">
        <f t="shared" ref="I133:J133" si="139">I121</f>
        <v>193.95999999999998</v>
      </c>
      <c r="J133" s="124">
        <f t="shared" si="139"/>
        <v>2.7399999999999998</v>
      </c>
      <c r="K133" s="30">
        <v>30</v>
      </c>
      <c r="L133" s="30">
        <v>322</v>
      </c>
      <c r="M133" s="30">
        <v>3513.1</v>
      </c>
      <c r="N133" s="127">
        <v>0.5</v>
      </c>
      <c r="O133" s="30">
        <f t="shared" si="98"/>
        <v>19390438.675275031</v>
      </c>
      <c r="P133" s="30">
        <f t="shared" si="132"/>
        <v>17783650.832298901</v>
      </c>
      <c r="Q133" s="49">
        <f t="shared" si="133"/>
        <v>115162.61061215401</v>
      </c>
      <c r="R133" s="48">
        <f t="shared" si="134"/>
        <v>5.9746283386975805E-3</v>
      </c>
    </row>
    <row r="134" spans="1:20" x14ac:dyDescent="0.2">
      <c r="A134" s="2">
        <v>44531</v>
      </c>
      <c r="B134">
        <f t="shared" si="129"/>
        <v>2021</v>
      </c>
      <c r="C134">
        <f t="shared" si="130"/>
        <v>12</v>
      </c>
      <c r="D134" s="54">
        <v>18227991.315662645</v>
      </c>
      <c r="E134" s="54">
        <v>1606787.8429761296</v>
      </c>
      <c r="F134" s="54">
        <v>19834779.158638775</v>
      </c>
      <c r="G134" s="126">
        <v>257.8</v>
      </c>
      <c r="H134" s="126">
        <v>0</v>
      </c>
      <c r="I134" s="124">
        <f t="shared" ref="I134:J134" si="140">I122</f>
        <v>327.48000000000008</v>
      </c>
      <c r="J134" s="124">
        <f t="shared" si="140"/>
        <v>0</v>
      </c>
      <c r="K134" s="30">
        <v>31</v>
      </c>
      <c r="L134" s="30">
        <v>327</v>
      </c>
      <c r="M134" s="30">
        <v>3539.2</v>
      </c>
      <c r="N134" s="127">
        <v>0.5</v>
      </c>
      <c r="O134" s="30">
        <f t="shared" si="98"/>
        <v>20197001.653229903</v>
      </c>
      <c r="P134" s="30">
        <f t="shared" si="132"/>
        <v>18590213.810253773</v>
      </c>
      <c r="Q134" s="49">
        <f t="shared" si="133"/>
        <v>362222.49459112808</v>
      </c>
      <c r="R134" s="48">
        <f t="shared" si="134"/>
        <v>1.8261987778843854E-2</v>
      </c>
      <c r="T134" s="27" t="s">
        <v>11</v>
      </c>
    </row>
    <row r="135" spans="1:20" x14ac:dyDescent="0.2">
      <c r="A135" s="2">
        <v>44562</v>
      </c>
      <c r="B135">
        <f t="shared" ref="B135:B158" si="141">YEAR(A135)</f>
        <v>2022</v>
      </c>
      <c r="C135">
        <f t="shared" ref="C135:C158" si="142">MONTH(A135)</f>
        <v>1</v>
      </c>
      <c r="D135" s="54"/>
      <c r="E135" s="54">
        <v>1526282.737907975</v>
      </c>
      <c r="G135" s="53">
        <v>439.5</v>
      </c>
      <c r="H135" s="53">
        <v>0</v>
      </c>
      <c r="I135" s="124">
        <f>I123</f>
        <v>439.5</v>
      </c>
      <c r="J135" s="124">
        <f t="shared" ref="J135" si="143">J123</f>
        <v>0</v>
      </c>
      <c r="K135" s="30">
        <f t="shared" ref="K135:K158" si="144">K87</f>
        <v>31</v>
      </c>
      <c r="L135" s="93">
        <f>'Rate Class Customer Model'!H60</f>
        <v>327.89165950580741</v>
      </c>
      <c r="M135" s="93">
        <v>3428.0227500000001</v>
      </c>
      <c r="N135" s="100">
        <f>T135*0.5</f>
        <v>0.375</v>
      </c>
      <c r="O135" s="30">
        <f t="shared" ref="O135:O158" si="145">$T$10+G135*$T$11+H135*$T$12+K135*$T$13+L135*$T$14+M135*$T$15+N135*$T$16</f>
        <v>20523130.444931772</v>
      </c>
      <c r="P135" s="30">
        <f t="shared" ref="P135:P158" si="146">O135-E135</f>
        <v>18996847.707023796</v>
      </c>
      <c r="Q135" s="49"/>
      <c r="R135" s="48"/>
      <c r="T135">
        <v>0.75</v>
      </c>
    </row>
    <row r="136" spans="1:20" x14ac:dyDescent="0.2">
      <c r="A136" s="2">
        <v>44593</v>
      </c>
      <c r="B136">
        <f t="shared" si="141"/>
        <v>2022</v>
      </c>
      <c r="C136">
        <f t="shared" si="142"/>
        <v>2</v>
      </c>
      <c r="D136" s="54"/>
      <c r="E136" s="54">
        <f>E135</f>
        <v>1526282.737907975</v>
      </c>
      <c r="G136" s="53">
        <v>403.5</v>
      </c>
      <c r="H136" s="53">
        <v>0</v>
      </c>
      <c r="I136" s="124">
        <f t="shared" ref="I136:J136" si="147">I124</f>
        <v>403.5</v>
      </c>
      <c r="J136" s="124">
        <f t="shared" si="147"/>
        <v>0</v>
      </c>
      <c r="K136" s="30">
        <f t="shared" si="144"/>
        <v>28</v>
      </c>
      <c r="L136" s="93">
        <f>'Rate Class Customer Model'!H61</f>
        <v>328.78575037759128</v>
      </c>
      <c r="M136" s="93">
        <v>3388.3631</v>
      </c>
      <c r="N136" s="100">
        <f t="shared" ref="N136:N158" si="148">T136*0.5</f>
        <v>0.375</v>
      </c>
      <c r="O136" s="30">
        <f t="shared" si="145"/>
        <v>19128648.862862557</v>
      </c>
      <c r="P136" s="30">
        <f t="shared" si="146"/>
        <v>17602366.124954581</v>
      </c>
      <c r="Q136" s="49"/>
      <c r="R136" s="48"/>
      <c r="T136">
        <f>T135</f>
        <v>0.75</v>
      </c>
    </row>
    <row r="137" spans="1:20" x14ac:dyDescent="0.2">
      <c r="A137" s="2">
        <v>44621</v>
      </c>
      <c r="B137">
        <f t="shared" si="141"/>
        <v>2022</v>
      </c>
      <c r="C137">
        <f t="shared" si="142"/>
        <v>3</v>
      </c>
      <c r="D137" s="54"/>
      <c r="E137" s="54">
        <f t="shared" ref="E137:E146" si="149">E136</f>
        <v>1526282.737907975</v>
      </c>
      <c r="G137" s="53">
        <v>291.06</v>
      </c>
      <c r="H137" s="53">
        <v>2.8099999999999996</v>
      </c>
      <c r="I137" s="124">
        <f t="shared" ref="I137:J137" si="150">I125</f>
        <v>291.06</v>
      </c>
      <c r="J137" s="124">
        <f t="shared" si="150"/>
        <v>2.8099999999999996</v>
      </c>
      <c r="K137" s="30">
        <f t="shared" si="144"/>
        <v>31</v>
      </c>
      <c r="L137" s="93">
        <f>'Rate Class Customer Model'!H62</f>
        <v>329.68227924516987</v>
      </c>
      <c r="M137" s="93">
        <v>3387.7418000000002</v>
      </c>
      <c r="N137" s="100">
        <f t="shared" si="148"/>
        <v>0.375</v>
      </c>
      <c r="O137" s="30">
        <f t="shared" si="145"/>
        <v>19642506.250405632</v>
      </c>
      <c r="P137" s="30">
        <f t="shared" si="146"/>
        <v>18116223.512497656</v>
      </c>
      <c r="Q137" s="49"/>
      <c r="R137" s="48"/>
      <c r="T137">
        <f t="shared" ref="T137:T158" si="151">T136</f>
        <v>0.75</v>
      </c>
    </row>
    <row r="138" spans="1:20" x14ac:dyDescent="0.2">
      <c r="A138" s="2">
        <v>44652</v>
      </c>
      <c r="B138">
        <f t="shared" si="141"/>
        <v>2022</v>
      </c>
      <c r="C138">
        <f t="shared" si="142"/>
        <v>4</v>
      </c>
      <c r="D138" s="54"/>
      <c r="E138" s="54">
        <f t="shared" si="149"/>
        <v>1526282.737907975</v>
      </c>
      <c r="G138" s="53">
        <v>120.71999999999998</v>
      </c>
      <c r="H138" s="53">
        <v>6.58</v>
      </c>
      <c r="I138" s="124">
        <f t="shared" ref="I138:J138" si="152">I126</f>
        <v>120.71999999999998</v>
      </c>
      <c r="J138" s="124">
        <f t="shared" si="152"/>
        <v>6.58</v>
      </c>
      <c r="K138" s="30">
        <f t="shared" si="144"/>
        <v>30</v>
      </c>
      <c r="L138" s="93">
        <f>'Rate Class Customer Model'!H63</f>
        <v>330.5812527564396</v>
      </c>
      <c r="M138" s="93">
        <v>3392.8157500000002</v>
      </c>
      <c r="N138" s="100">
        <f t="shared" si="148"/>
        <v>0.375</v>
      </c>
      <c r="O138" s="30">
        <f t="shared" si="145"/>
        <v>18470921.912562463</v>
      </c>
      <c r="P138" s="30">
        <f t="shared" si="146"/>
        <v>16944639.174654488</v>
      </c>
      <c r="Q138" s="49"/>
      <c r="R138" s="48"/>
      <c r="T138">
        <f t="shared" si="151"/>
        <v>0.75</v>
      </c>
    </row>
    <row r="139" spans="1:20" x14ac:dyDescent="0.2">
      <c r="A139" s="2">
        <v>44682</v>
      </c>
      <c r="B139">
        <f t="shared" si="141"/>
        <v>2022</v>
      </c>
      <c r="C139">
        <f t="shared" si="142"/>
        <v>5</v>
      </c>
      <c r="D139" s="54"/>
      <c r="E139" s="54">
        <f t="shared" si="149"/>
        <v>1526282.737907975</v>
      </c>
      <c r="G139" s="53">
        <v>16.330000000000002</v>
      </c>
      <c r="H139" s="53">
        <v>107.25</v>
      </c>
      <c r="I139" s="124">
        <f t="shared" ref="I139:J139" si="153">I127</f>
        <v>16.330000000000002</v>
      </c>
      <c r="J139" s="124">
        <f t="shared" si="153"/>
        <v>107.25</v>
      </c>
      <c r="K139" s="30">
        <f t="shared" si="144"/>
        <v>31</v>
      </c>
      <c r="L139" s="93">
        <f>'Rate Class Customer Model'!H64</f>
        <v>331.48267757742428</v>
      </c>
      <c r="M139" s="93">
        <v>3394.4725500000004</v>
      </c>
      <c r="N139" s="100">
        <f t="shared" si="148"/>
        <v>0.375</v>
      </c>
      <c r="O139" s="30">
        <f t="shared" si="145"/>
        <v>18977527.459236871</v>
      </c>
      <c r="P139" s="30">
        <f t="shared" si="146"/>
        <v>17451244.721328896</v>
      </c>
      <c r="Q139" s="49"/>
      <c r="R139" s="48"/>
      <c r="T139">
        <f t="shared" si="151"/>
        <v>0.75</v>
      </c>
    </row>
    <row r="140" spans="1:20" x14ac:dyDescent="0.2">
      <c r="A140" s="2">
        <v>44713</v>
      </c>
      <c r="B140">
        <f t="shared" si="141"/>
        <v>2022</v>
      </c>
      <c r="C140">
        <f t="shared" si="142"/>
        <v>6</v>
      </c>
      <c r="D140" s="54"/>
      <c r="E140" s="54">
        <f t="shared" si="149"/>
        <v>1526282.737907975</v>
      </c>
      <c r="G140" s="53">
        <v>0</v>
      </c>
      <c r="H140" s="53">
        <v>230.10000000000005</v>
      </c>
      <c r="I140" s="124">
        <f t="shared" ref="I140:J140" si="154">I128</f>
        <v>0</v>
      </c>
      <c r="J140" s="124">
        <f t="shared" si="154"/>
        <v>230.10000000000005</v>
      </c>
      <c r="K140" s="30">
        <f t="shared" si="144"/>
        <v>30</v>
      </c>
      <c r="L140" s="93">
        <f>'Rate Class Customer Model'!H65</f>
        <v>332.38656039232461</v>
      </c>
      <c r="M140" s="93">
        <v>3405.2417500000001</v>
      </c>
      <c r="N140" s="100">
        <f t="shared" si="148"/>
        <v>0.375</v>
      </c>
      <c r="O140" s="30">
        <f t="shared" si="145"/>
        <v>19419958.36210816</v>
      </c>
      <c r="P140" s="30">
        <f t="shared" si="146"/>
        <v>17893675.624200184</v>
      </c>
      <c r="Q140" s="49"/>
      <c r="R140" s="48"/>
      <c r="T140">
        <f t="shared" si="151"/>
        <v>0.75</v>
      </c>
    </row>
    <row r="141" spans="1:20" x14ac:dyDescent="0.2">
      <c r="A141" s="2">
        <v>44743</v>
      </c>
      <c r="B141">
        <f t="shared" si="141"/>
        <v>2022</v>
      </c>
      <c r="C141">
        <f t="shared" si="142"/>
        <v>7</v>
      </c>
      <c r="D141" s="54"/>
      <c r="E141" s="54">
        <f t="shared" si="149"/>
        <v>1526282.737907975</v>
      </c>
      <c r="G141" s="53">
        <v>0</v>
      </c>
      <c r="H141" s="53">
        <v>331.41</v>
      </c>
      <c r="I141" s="124">
        <f t="shared" ref="I141:J141" si="155">I129</f>
        <v>0</v>
      </c>
      <c r="J141" s="124">
        <f t="shared" si="155"/>
        <v>331.41</v>
      </c>
      <c r="K141" s="30">
        <f t="shared" si="144"/>
        <v>31</v>
      </c>
      <c r="L141" s="93">
        <f>'Rate Class Customer Model'!H66</f>
        <v>333.29290790356754</v>
      </c>
      <c r="M141" s="93">
        <v>3451.2179500000002</v>
      </c>
      <c r="N141" s="100">
        <f t="shared" si="148"/>
        <v>0.375</v>
      </c>
      <c r="O141" s="30">
        <f t="shared" si="145"/>
        <v>20660525.996076196</v>
      </c>
      <c r="P141" s="30">
        <f t="shared" si="146"/>
        <v>19134243.258168221</v>
      </c>
      <c r="Q141" s="49"/>
      <c r="R141" s="48"/>
      <c r="T141">
        <f t="shared" si="151"/>
        <v>0.75</v>
      </c>
    </row>
    <row r="142" spans="1:20" x14ac:dyDescent="0.2">
      <c r="A142" s="2">
        <v>44774</v>
      </c>
      <c r="B142">
        <f t="shared" si="141"/>
        <v>2022</v>
      </c>
      <c r="C142">
        <f t="shared" si="142"/>
        <v>8</v>
      </c>
      <c r="D142" s="54"/>
      <c r="E142" s="54">
        <f t="shared" si="149"/>
        <v>1526282.737907975</v>
      </c>
      <c r="G142" s="53">
        <v>0</v>
      </c>
      <c r="H142" s="53">
        <v>304.46000000000004</v>
      </c>
      <c r="I142" s="124">
        <f t="shared" ref="I142:J142" si="156">I130</f>
        <v>0</v>
      </c>
      <c r="J142" s="124">
        <f t="shared" si="156"/>
        <v>304.46000000000004</v>
      </c>
      <c r="K142" s="30">
        <f t="shared" si="144"/>
        <v>31</v>
      </c>
      <c r="L142" s="93">
        <f>'Rate Class Customer Model'!H67</f>
        <v>334.20172683185626</v>
      </c>
      <c r="M142" s="93">
        <v>3524.3242500000001</v>
      </c>
      <c r="N142" s="100">
        <f t="shared" si="148"/>
        <v>0.375</v>
      </c>
      <c r="O142" s="30">
        <f t="shared" si="145"/>
        <v>20811745.071974628</v>
      </c>
      <c r="P142" s="30">
        <f t="shared" si="146"/>
        <v>19285462.334066652</v>
      </c>
      <c r="Q142" s="49"/>
      <c r="R142" s="48"/>
      <c r="T142">
        <f t="shared" si="151"/>
        <v>0.75</v>
      </c>
    </row>
    <row r="143" spans="1:20" x14ac:dyDescent="0.2">
      <c r="A143" s="2">
        <v>44805</v>
      </c>
      <c r="B143">
        <f t="shared" si="141"/>
        <v>2022</v>
      </c>
      <c r="C143">
        <f t="shared" si="142"/>
        <v>9</v>
      </c>
      <c r="D143" s="54"/>
      <c r="E143" s="54">
        <f t="shared" si="149"/>
        <v>1526282.737907975</v>
      </c>
      <c r="G143" s="53">
        <v>0.24999999999999983</v>
      </c>
      <c r="H143" s="53">
        <v>176.51</v>
      </c>
      <c r="I143" s="124">
        <f t="shared" ref="I143:J143" si="157">I131</f>
        <v>0.24999999999999983</v>
      </c>
      <c r="J143" s="124">
        <f t="shared" si="157"/>
        <v>176.51</v>
      </c>
      <c r="K143" s="30">
        <f t="shared" si="144"/>
        <v>30</v>
      </c>
      <c r="L143" s="93">
        <f>'Rate Class Customer Model'!H68</f>
        <v>335.11302391621979</v>
      </c>
      <c r="M143" s="93">
        <v>3579.8270500000003</v>
      </c>
      <c r="N143" s="100">
        <f t="shared" si="148"/>
        <v>0.375</v>
      </c>
      <c r="O143" s="30">
        <f t="shared" si="145"/>
        <v>19866904.483262584</v>
      </c>
      <c r="P143" s="30">
        <f t="shared" si="146"/>
        <v>18340621.745354608</v>
      </c>
      <c r="Q143" s="49"/>
      <c r="R143" s="48"/>
      <c r="T143">
        <f t="shared" si="151"/>
        <v>0.75</v>
      </c>
    </row>
    <row r="144" spans="1:20" x14ac:dyDescent="0.2">
      <c r="A144" s="2">
        <v>44835</v>
      </c>
      <c r="B144">
        <f t="shared" si="141"/>
        <v>2022</v>
      </c>
      <c r="C144">
        <f t="shared" si="142"/>
        <v>10</v>
      </c>
      <c r="D144" s="54"/>
      <c r="E144" s="54">
        <f t="shared" si="149"/>
        <v>1526282.737907975</v>
      </c>
      <c r="G144" s="53">
        <v>44.309999999999995</v>
      </c>
      <c r="H144" s="53">
        <v>43.36</v>
      </c>
      <c r="I144" s="124">
        <f t="shared" ref="I144:J144" si="158">I132</f>
        <v>44.309999999999995</v>
      </c>
      <c r="J144" s="124">
        <f t="shared" si="158"/>
        <v>43.36</v>
      </c>
      <c r="K144" s="30">
        <f t="shared" si="144"/>
        <v>31</v>
      </c>
      <c r="L144" s="93">
        <f>'Rate Class Customer Model'!H69</f>
        <v>336.02680591406312</v>
      </c>
      <c r="M144" s="93">
        <v>3624.0429000000004</v>
      </c>
      <c r="N144" s="100">
        <f t="shared" si="148"/>
        <v>0.375</v>
      </c>
      <c r="O144" s="30">
        <f t="shared" si="145"/>
        <v>19775237.159224574</v>
      </c>
      <c r="P144" s="30">
        <f t="shared" si="146"/>
        <v>18248954.421316598</v>
      </c>
      <c r="Q144" s="49"/>
      <c r="R144" s="48"/>
      <c r="T144">
        <f t="shared" si="151"/>
        <v>0.75</v>
      </c>
    </row>
    <row r="145" spans="1:20" x14ac:dyDescent="0.2">
      <c r="A145" s="2">
        <v>44866</v>
      </c>
      <c r="B145">
        <f t="shared" si="141"/>
        <v>2022</v>
      </c>
      <c r="C145">
        <f t="shared" si="142"/>
        <v>11</v>
      </c>
      <c r="D145" s="54"/>
      <c r="E145" s="54">
        <f t="shared" si="149"/>
        <v>1526282.737907975</v>
      </c>
      <c r="G145" s="53">
        <v>193.95999999999998</v>
      </c>
      <c r="H145" s="53">
        <v>2.7399999999999998</v>
      </c>
      <c r="I145" s="124">
        <f t="shared" ref="I145:J145" si="159">I133</f>
        <v>193.95999999999998</v>
      </c>
      <c r="J145" s="124">
        <f t="shared" si="159"/>
        <v>2.7399999999999998</v>
      </c>
      <c r="K145" s="30">
        <f t="shared" si="144"/>
        <v>30</v>
      </c>
      <c r="L145" s="93">
        <f>'Rate Class Customer Model'!H70</f>
        <v>336.94307960121716</v>
      </c>
      <c r="M145" s="93">
        <v>3637.8150500000002</v>
      </c>
      <c r="N145" s="100">
        <f t="shared" si="148"/>
        <v>0.375</v>
      </c>
      <c r="O145" s="30">
        <f t="shared" si="145"/>
        <v>20009957.071511749</v>
      </c>
      <c r="P145" s="30">
        <f t="shared" si="146"/>
        <v>18483674.333603773</v>
      </c>
      <c r="Q145" s="49"/>
      <c r="R145" s="48"/>
      <c r="T145">
        <f t="shared" si="151"/>
        <v>0.75</v>
      </c>
    </row>
    <row r="146" spans="1:20" x14ac:dyDescent="0.2">
      <c r="A146" s="2">
        <v>44896</v>
      </c>
      <c r="B146">
        <f t="shared" si="141"/>
        <v>2022</v>
      </c>
      <c r="C146">
        <f t="shared" si="142"/>
        <v>12</v>
      </c>
      <c r="D146" s="54"/>
      <c r="E146" s="54">
        <f t="shared" si="149"/>
        <v>1526282.737907975</v>
      </c>
      <c r="G146" s="53">
        <v>327.48000000000008</v>
      </c>
      <c r="H146" s="53">
        <v>0</v>
      </c>
      <c r="I146" s="124">
        <f t="shared" ref="I146:J146" si="160">I134</f>
        <v>327.48000000000008</v>
      </c>
      <c r="J146" s="124">
        <f t="shared" si="160"/>
        <v>0</v>
      </c>
      <c r="K146" s="30">
        <f t="shared" si="144"/>
        <v>31</v>
      </c>
      <c r="L146" s="93">
        <f>'Rate Class Customer Model'!H71</f>
        <v>337.86185177198917</v>
      </c>
      <c r="M146" s="93">
        <v>3664.8416000000002</v>
      </c>
      <c r="N146" s="100">
        <f t="shared" si="148"/>
        <v>0.375</v>
      </c>
      <c r="O146" s="30">
        <f t="shared" si="145"/>
        <v>21175318.031082578</v>
      </c>
      <c r="P146" s="30">
        <f t="shared" si="146"/>
        <v>19649035.293174602</v>
      </c>
      <c r="Q146" s="49"/>
      <c r="R146" s="48"/>
      <c r="T146">
        <f t="shared" si="151"/>
        <v>0.75</v>
      </c>
    </row>
    <row r="147" spans="1:20" x14ac:dyDescent="0.2">
      <c r="A147" s="2">
        <v>44927</v>
      </c>
      <c r="B147">
        <f t="shared" si="141"/>
        <v>2023</v>
      </c>
      <c r="C147">
        <f t="shared" si="142"/>
        <v>1</v>
      </c>
      <c r="D147" s="54"/>
      <c r="E147" s="54">
        <v>1436531.919145507</v>
      </c>
      <c r="G147" s="53">
        <f t="shared" ref="G147:H158" si="161">G135</f>
        <v>439.5</v>
      </c>
      <c r="H147" s="53">
        <f t="shared" si="161"/>
        <v>0</v>
      </c>
      <c r="I147" s="124">
        <f t="shared" ref="I147:J158" si="162">I135</f>
        <v>439.5</v>
      </c>
      <c r="J147" s="124">
        <f t="shared" si="162"/>
        <v>0</v>
      </c>
      <c r="K147" s="30">
        <f t="shared" si="144"/>
        <v>31</v>
      </c>
      <c r="L147" s="93">
        <f>'Rate Class Customer Model'!H72</f>
        <v>338.783129239213</v>
      </c>
      <c r="M147" s="93">
        <v>3489.7271595000002</v>
      </c>
      <c r="N147" s="100">
        <f t="shared" si="148"/>
        <v>0.25</v>
      </c>
      <c r="O147" s="30">
        <f t="shared" si="145"/>
        <v>21209505.060318287</v>
      </c>
      <c r="P147" s="30">
        <f t="shared" si="146"/>
        <v>19772973.141172782</v>
      </c>
      <c r="Q147" s="49"/>
      <c r="R147" s="48"/>
      <c r="T147">
        <v>0.5</v>
      </c>
    </row>
    <row r="148" spans="1:20" x14ac:dyDescent="0.2">
      <c r="A148" s="2">
        <v>44958</v>
      </c>
      <c r="B148">
        <f t="shared" si="141"/>
        <v>2023</v>
      </c>
      <c r="C148">
        <f t="shared" si="142"/>
        <v>2</v>
      </c>
      <c r="D148" s="54"/>
      <c r="E148" s="54">
        <f>E147</f>
        <v>1436531.919145507</v>
      </c>
      <c r="G148" s="53">
        <f t="shared" si="161"/>
        <v>403.5</v>
      </c>
      <c r="H148" s="53">
        <f t="shared" si="161"/>
        <v>0</v>
      </c>
      <c r="I148" s="124">
        <f t="shared" si="162"/>
        <v>403.5</v>
      </c>
      <c r="J148" s="124">
        <f t="shared" si="162"/>
        <v>0</v>
      </c>
      <c r="K148" s="30">
        <f t="shared" si="144"/>
        <v>28</v>
      </c>
      <c r="L148" s="93">
        <f>'Rate Class Customer Model'!H73</f>
        <v>339.70691883429964</v>
      </c>
      <c r="M148" s="93">
        <v>3449.3536358000001</v>
      </c>
      <c r="N148" s="100">
        <f t="shared" si="148"/>
        <v>0.25</v>
      </c>
      <c r="O148" s="30">
        <f t="shared" si="145"/>
        <v>19812713.962691318</v>
      </c>
      <c r="P148" s="30">
        <f t="shared" si="146"/>
        <v>18376182.043545812</v>
      </c>
      <c r="Q148" s="49"/>
      <c r="R148" s="48"/>
      <c r="T148">
        <f t="shared" si="151"/>
        <v>0.5</v>
      </c>
    </row>
    <row r="149" spans="1:20" x14ac:dyDescent="0.2">
      <c r="A149" s="2">
        <v>44986</v>
      </c>
      <c r="B149">
        <f t="shared" si="141"/>
        <v>2023</v>
      </c>
      <c r="C149">
        <f t="shared" si="142"/>
        <v>3</v>
      </c>
      <c r="D149" s="54"/>
      <c r="E149" s="54">
        <f t="shared" ref="E149:E158" si="163">E148</f>
        <v>1436531.919145507</v>
      </c>
      <c r="G149" s="53">
        <f t="shared" si="161"/>
        <v>291.06</v>
      </c>
      <c r="H149" s="53">
        <f t="shared" si="161"/>
        <v>2.8099999999999996</v>
      </c>
      <c r="I149" s="124">
        <f t="shared" si="162"/>
        <v>291.06</v>
      </c>
      <c r="J149" s="124">
        <f t="shared" si="162"/>
        <v>2.8099999999999996</v>
      </c>
      <c r="K149" s="30">
        <f t="shared" si="144"/>
        <v>31</v>
      </c>
      <c r="L149" s="93">
        <f>'Rate Class Customer Model'!H74</f>
        <v>340.63322740728785</v>
      </c>
      <c r="M149" s="93">
        <v>3448.7211524000004</v>
      </c>
      <c r="N149" s="100">
        <f t="shared" si="148"/>
        <v>0.25</v>
      </c>
      <c r="O149" s="30">
        <f t="shared" si="145"/>
        <v>20327227.800515275</v>
      </c>
      <c r="P149" s="30">
        <f t="shared" si="146"/>
        <v>18890695.88136977</v>
      </c>
      <c r="Q149" s="49"/>
      <c r="R149" s="48"/>
      <c r="T149">
        <f t="shared" si="151"/>
        <v>0.5</v>
      </c>
    </row>
    <row r="150" spans="1:20" x14ac:dyDescent="0.2">
      <c r="A150" s="2">
        <v>45017</v>
      </c>
      <c r="B150">
        <f t="shared" si="141"/>
        <v>2023</v>
      </c>
      <c r="C150">
        <f t="shared" si="142"/>
        <v>4</v>
      </c>
      <c r="D150" s="54"/>
      <c r="E150" s="54">
        <f t="shared" si="163"/>
        <v>1436531.919145507</v>
      </c>
      <c r="G150" s="53">
        <f t="shared" si="161"/>
        <v>120.71999999999998</v>
      </c>
      <c r="H150" s="53">
        <f t="shared" si="161"/>
        <v>6.58</v>
      </c>
      <c r="I150" s="124">
        <f t="shared" si="162"/>
        <v>120.71999999999998</v>
      </c>
      <c r="J150" s="124">
        <f t="shared" si="162"/>
        <v>6.58</v>
      </c>
      <c r="K150" s="30">
        <f t="shared" si="144"/>
        <v>30</v>
      </c>
      <c r="L150" s="93">
        <f>'Rate Class Customer Model'!H75</f>
        <v>341.5620618268951</v>
      </c>
      <c r="M150" s="93">
        <v>3453.8864335000003</v>
      </c>
      <c r="N150" s="100">
        <f t="shared" si="148"/>
        <v>0.25</v>
      </c>
      <c r="O150" s="30">
        <f t="shared" si="145"/>
        <v>19156734.253026027</v>
      </c>
      <c r="P150" s="30">
        <f t="shared" si="146"/>
        <v>17720202.333880521</v>
      </c>
      <c r="Q150" s="49"/>
      <c r="R150" s="48"/>
      <c r="T150">
        <f t="shared" si="151"/>
        <v>0.5</v>
      </c>
    </row>
    <row r="151" spans="1:20" x14ac:dyDescent="0.2">
      <c r="A151" s="2">
        <v>45047</v>
      </c>
      <c r="B151">
        <f t="shared" si="141"/>
        <v>2023</v>
      </c>
      <c r="C151">
        <f t="shared" si="142"/>
        <v>5</v>
      </c>
      <c r="D151" s="54"/>
      <c r="E151" s="54">
        <f t="shared" si="163"/>
        <v>1436531.919145507</v>
      </c>
      <c r="G151" s="53">
        <f t="shared" si="161"/>
        <v>16.330000000000002</v>
      </c>
      <c r="H151" s="53">
        <f t="shared" si="161"/>
        <v>107.25</v>
      </c>
      <c r="I151" s="124">
        <f t="shared" si="162"/>
        <v>16.330000000000002</v>
      </c>
      <c r="J151" s="124">
        <f t="shared" si="162"/>
        <v>107.25</v>
      </c>
      <c r="K151" s="30">
        <f t="shared" si="144"/>
        <v>31</v>
      </c>
      <c r="L151" s="93">
        <f>'Rate Class Customer Model'!H76</f>
        <v>342.4934289805683</v>
      </c>
      <c r="M151" s="93">
        <v>3455.5730559000003</v>
      </c>
      <c r="N151" s="100">
        <f t="shared" si="148"/>
        <v>0.25</v>
      </c>
      <c r="O151" s="30">
        <f t="shared" si="145"/>
        <v>19664173.061053161</v>
      </c>
      <c r="P151" s="30">
        <f t="shared" si="146"/>
        <v>18227641.141907655</v>
      </c>
      <c r="Q151" s="49"/>
      <c r="R151" s="48"/>
      <c r="T151">
        <f t="shared" si="151"/>
        <v>0.5</v>
      </c>
    </row>
    <row r="152" spans="1:20" x14ac:dyDescent="0.2">
      <c r="A152" s="2">
        <v>45078</v>
      </c>
      <c r="B152">
        <f t="shared" si="141"/>
        <v>2023</v>
      </c>
      <c r="C152">
        <f t="shared" si="142"/>
        <v>6</v>
      </c>
      <c r="D152" s="54"/>
      <c r="E152" s="54">
        <f t="shared" si="163"/>
        <v>1436531.919145507</v>
      </c>
      <c r="G152" s="53">
        <f t="shared" si="161"/>
        <v>0</v>
      </c>
      <c r="H152" s="53">
        <f t="shared" si="161"/>
        <v>230.10000000000005</v>
      </c>
      <c r="I152" s="124">
        <f t="shared" si="162"/>
        <v>0</v>
      </c>
      <c r="J152" s="124">
        <f t="shared" si="162"/>
        <v>230.10000000000005</v>
      </c>
      <c r="K152" s="30">
        <f t="shared" si="144"/>
        <v>30</v>
      </c>
      <c r="L152" s="93">
        <f>'Rate Class Customer Model'!H77</f>
        <v>343.42733577453498</v>
      </c>
      <c r="M152" s="93">
        <v>3466.5361015000003</v>
      </c>
      <c r="N152" s="100">
        <f t="shared" si="148"/>
        <v>0.25</v>
      </c>
      <c r="O152" s="30">
        <f t="shared" si="145"/>
        <v>20108131.028692603</v>
      </c>
      <c r="P152" s="30">
        <f t="shared" si="146"/>
        <v>18671599.109547097</v>
      </c>
      <c r="Q152" s="49"/>
      <c r="R152" s="48"/>
      <c r="T152">
        <f t="shared" si="151"/>
        <v>0.5</v>
      </c>
    </row>
    <row r="153" spans="1:20" x14ac:dyDescent="0.2">
      <c r="A153" s="2">
        <v>45108</v>
      </c>
      <c r="B153">
        <f t="shared" si="141"/>
        <v>2023</v>
      </c>
      <c r="C153">
        <f t="shared" si="142"/>
        <v>7</v>
      </c>
      <c r="D153" s="54"/>
      <c r="E153" s="54">
        <f t="shared" si="163"/>
        <v>1436531.919145507</v>
      </c>
      <c r="G153" s="53">
        <f t="shared" si="161"/>
        <v>0</v>
      </c>
      <c r="H153" s="53">
        <f t="shared" si="161"/>
        <v>331.41</v>
      </c>
      <c r="I153" s="124">
        <f t="shared" si="162"/>
        <v>0</v>
      </c>
      <c r="J153" s="124">
        <f t="shared" si="162"/>
        <v>331.41</v>
      </c>
      <c r="K153" s="30">
        <f t="shared" si="144"/>
        <v>31</v>
      </c>
      <c r="L153" s="93">
        <f>'Rate Class Customer Model'!H78</f>
        <v>344.36378913385448</v>
      </c>
      <c r="M153" s="93">
        <v>3513.3398731000002</v>
      </c>
      <c r="N153" s="100">
        <f t="shared" si="148"/>
        <v>0.25</v>
      </c>
      <c r="O153" s="30">
        <f t="shared" si="145"/>
        <v>21352900.812526032</v>
      </c>
      <c r="P153" s="30">
        <f t="shared" si="146"/>
        <v>19916368.893380526</v>
      </c>
      <c r="Q153" s="49"/>
      <c r="R153" s="48"/>
      <c r="T153">
        <f t="shared" si="151"/>
        <v>0.5</v>
      </c>
    </row>
    <row r="154" spans="1:20" x14ac:dyDescent="0.2">
      <c r="A154" s="2">
        <v>45139</v>
      </c>
      <c r="B154">
        <f t="shared" si="141"/>
        <v>2023</v>
      </c>
      <c r="C154">
        <f t="shared" si="142"/>
        <v>8</v>
      </c>
      <c r="D154" s="54"/>
      <c r="E154" s="54">
        <f t="shared" si="163"/>
        <v>1436531.919145507</v>
      </c>
      <c r="G154" s="53">
        <f t="shared" si="161"/>
        <v>0</v>
      </c>
      <c r="H154" s="53">
        <f t="shared" si="161"/>
        <v>304.46000000000004</v>
      </c>
      <c r="I154" s="124">
        <f t="shared" si="162"/>
        <v>0</v>
      </c>
      <c r="J154" s="124">
        <f t="shared" si="162"/>
        <v>304.46000000000004</v>
      </c>
      <c r="K154" s="30">
        <f t="shared" si="144"/>
        <v>31</v>
      </c>
      <c r="L154" s="93">
        <f>'Rate Class Customer Model'!H79</f>
        <v>345.30279600246934</v>
      </c>
      <c r="M154" s="93">
        <v>3587.7620865000004</v>
      </c>
      <c r="N154" s="100">
        <f t="shared" si="148"/>
        <v>0.25</v>
      </c>
      <c r="O154" s="30">
        <f t="shared" si="145"/>
        <v>21510383.876435995</v>
      </c>
      <c r="P154" s="30">
        <f t="shared" si="146"/>
        <v>20073851.957290489</v>
      </c>
      <c r="Q154" s="49"/>
      <c r="R154" s="48"/>
      <c r="T154">
        <f t="shared" si="151"/>
        <v>0.5</v>
      </c>
    </row>
    <row r="155" spans="1:20" x14ac:dyDescent="0.2">
      <c r="A155" s="2">
        <v>45170</v>
      </c>
      <c r="B155">
        <f t="shared" si="141"/>
        <v>2023</v>
      </c>
      <c r="C155">
        <f t="shared" si="142"/>
        <v>9</v>
      </c>
      <c r="D155" s="54"/>
      <c r="E155" s="54">
        <f t="shared" si="163"/>
        <v>1436531.919145507</v>
      </c>
      <c r="G155" s="53">
        <f t="shared" si="161"/>
        <v>0.24999999999999983</v>
      </c>
      <c r="H155" s="53">
        <f t="shared" si="161"/>
        <v>176.51</v>
      </c>
      <c r="I155" s="124">
        <f t="shared" si="162"/>
        <v>0.24999999999999983</v>
      </c>
      <c r="J155" s="124">
        <f t="shared" si="162"/>
        <v>176.51</v>
      </c>
      <c r="K155" s="30">
        <f t="shared" si="144"/>
        <v>30</v>
      </c>
      <c r="L155" s="93">
        <f>'Rate Class Customer Model'!H80</f>
        <v>346.24436334325674</v>
      </c>
      <c r="M155" s="93">
        <v>3644.2639369000003</v>
      </c>
      <c r="N155" s="100">
        <f t="shared" si="148"/>
        <v>0.25</v>
      </c>
      <c r="O155" s="30">
        <f t="shared" si="145"/>
        <v>20570472.645305131</v>
      </c>
      <c r="P155" s="30">
        <f t="shared" si="146"/>
        <v>19133940.726159625</v>
      </c>
      <c r="Q155" s="49"/>
      <c r="R155" s="48"/>
      <c r="T155">
        <f t="shared" si="151"/>
        <v>0.5</v>
      </c>
    </row>
    <row r="156" spans="1:20" x14ac:dyDescent="0.2">
      <c r="A156" s="2">
        <v>45200</v>
      </c>
      <c r="B156">
        <f t="shared" si="141"/>
        <v>2023</v>
      </c>
      <c r="C156">
        <f t="shared" si="142"/>
        <v>10</v>
      </c>
      <c r="D156" s="54"/>
      <c r="E156" s="54">
        <f t="shared" si="163"/>
        <v>1436531.919145507</v>
      </c>
      <c r="G156" s="53">
        <f t="shared" si="161"/>
        <v>44.309999999999995</v>
      </c>
      <c r="H156" s="53">
        <f t="shared" si="161"/>
        <v>43.36</v>
      </c>
      <c r="I156" s="124">
        <f t="shared" si="162"/>
        <v>44.309999999999995</v>
      </c>
      <c r="J156" s="124">
        <f t="shared" si="162"/>
        <v>43.36</v>
      </c>
      <c r="K156" s="30">
        <f t="shared" si="144"/>
        <v>31</v>
      </c>
      <c r="L156" s="93">
        <f>'Rate Class Customer Model'!H81</f>
        <v>347.18849813808015</v>
      </c>
      <c r="M156" s="93">
        <v>3689.2756722000004</v>
      </c>
      <c r="N156" s="100">
        <f t="shared" si="148"/>
        <v>0.25</v>
      </c>
      <c r="O156" s="30">
        <f t="shared" si="145"/>
        <v>20482879.648410704</v>
      </c>
      <c r="P156" s="30">
        <f t="shared" si="146"/>
        <v>19046347.729265198</v>
      </c>
      <c r="Q156" s="49"/>
      <c r="R156" s="48"/>
      <c r="T156">
        <f t="shared" si="151"/>
        <v>0.5</v>
      </c>
    </row>
    <row r="157" spans="1:20" x14ac:dyDescent="0.2">
      <c r="A157" s="2">
        <v>45231</v>
      </c>
      <c r="B157">
        <f t="shared" si="141"/>
        <v>2023</v>
      </c>
      <c r="C157">
        <f t="shared" si="142"/>
        <v>11</v>
      </c>
      <c r="D157" s="54"/>
      <c r="E157" s="54">
        <f t="shared" si="163"/>
        <v>1436531.919145507</v>
      </c>
      <c r="G157" s="53">
        <f t="shared" si="161"/>
        <v>193.95999999999998</v>
      </c>
      <c r="H157" s="53">
        <f t="shared" si="161"/>
        <v>2.7399999999999998</v>
      </c>
      <c r="I157" s="124">
        <f t="shared" si="162"/>
        <v>193.95999999999998</v>
      </c>
      <c r="J157" s="124">
        <f t="shared" si="162"/>
        <v>2.7399999999999998</v>
      </c>
      <c r="K157" s="30">
        <f t="shared" si="144"/>
        <v>30</v>
      </c>
      <c r="L157" s="93">
        <f>'Rate Class Customer Model'!H82</f>
        <v>348.13520738784104</v>
      </c>
      <c r="M157" s="93">
        <v>3703.2957209000001</v>
      </c>
      <c r="N157" s="100">
        <f t="shared" si="148"/>
        <v>0.25</v>
      </c>
      <c r="O157" s="30">
        <f t="shared" si="145"/>
        <v>20719364.354237698</v>
      </c>
      <c r="P157" s="30">
        <f t="shared" si="146"/>
        <v>19282832.435092192</v>
      </c>
      <c r="Q157" s="49"/>
      <c r="R157" s="48"/>
      <c r="T157">
        <f t="shared" si="151"/>
        <v>0.5</v>
      </c>
    </row>
    <row r="158" spans="1:20" x14ac:dyDescent="0.2">
      <c r="A158" s="2">
        <v>45261</v>
      </c>
      <c r="B158">
        <f t="shared" si="141"/>
        <v>2023</v>
      </c>
      <c r="C158">
        <f t="shared" si="142"/>
        <v>12</v>
      </c>
      <c r="D158" s="54"/>
      <c r="E158" s="54">
        <f t="shared" si="163"/>
        <v>1436531.919145507</v>
      </c>
      <c r="G158" s="53">
        <f t="shared" si="161"/>
        <v>327.48000000000008</v>
      </c>
      <c r="H158" s="53">
        <f t="shared" si="161"/>
        <v>0</v>
      </c>
      <c r="I158" s="124">
        <f t="shared" si="162"/>
        <v>327.48000000000008</v>
      </c>
      <c r="J158" s="124">
        <f t="shared" si="162"/>
        <v>0</v>
      </c>
      <c r="K158" s="30">
        <f t="shared" si="144"/>
        <v>31</v>
      </c>
      <c r="L158" s="93">
        <f>'Rate Class Customer Model'!H83</f>
        <v>349.08449811253098</v>
      </c>
      <c r="M158" s="93">
        <v>3730.8087488000001</v>
      </c>
      <c r="N158" s="100">
        <f t="shared" si="148"/>
        <v>0.25</v>
      </c>
      <c r="O158" s="30">
        <f t="shared" si="145"/>
        <v>21887498.430862218</v>
      </c>
      <c r="P158" s="30">
        <f t="shared" si="146"/>
        <v>20450966.511716712</v>
      </c>
      <c r="Q158" s="49"/>
      <c r="R158" s="48"/>
      <c r="T158">
        <f t="shared" si="151"/>
        <v>0.5</v>
      </c>
    </row>
    <row r="159" spans="1:20" x14ac:dyDescent="0.2">
      <c r="A159" s="2"/>
      <c r="B159" s="2"/>
      <c r="C159" s="2"/>
      <c r="D159" s="54"/>
      <c r="E159" s="54"/>
      <c r="G159" s="50"/>
      <c r="H159" s="50"/>
      <c r="I159" s="50"/>
      <c r="J159" s="50"/>
      <c r="K159" s="30"/>
      <c r="L159" s="30"/>
      <c r="M159" s="30"/>
      <c r="O159" s="30"/>
      <c r="P159" s="30"/>
      <c r="Q159" s="49"/>
      <c r="R159" s="77">
        <f>AVERAGE(R3:R134)</f>
        <v>1.3248222898051415E-2</v>
      </c>
    </row>
    <row r="160" spans="1:20" x14ac:dyDescent="0.2">
      <c r="A160" s="2"/>
      <c r="B160" s="2"/>
      <c r="C160" s="2"/>
      <c r="D160" s="2"/>
      <c r="E160" s="2"/>
      <c r="G160" s="50">
        <f>SUM(G3:G159)</f>
        <v>23893.020000000011</v>
      </c>
      <c r="H160" s="50">
        <f>SUM(H3:H159)</f>
        <v>15678.939999999999</v>
      </c>
      <c r="I160" s="50"/>
      <c r="J160" s="50"/>
      <c r="K160" s="30"/>
      <c r="L160" s="30"/>
      <c r="M160" s="30"/>
      <c r="O160" s="30"/>
      <c r="P160" s="30"/>
      <c r="Q160" s="49"/>
      <c r="R160" s="48"/>
    </row>
    <row r="161" spans="1:40" x14ac:dyDescent="0.2">
      <c r="A161" s="2"/>
      <c r="B161" s="2"/>
      <c r="C161" s="2"/>
      <c r="D161" s="2"/>
      <c r="E161" s="2"/>
      <c r="G161" s="50"/>
      <c r="H161" s="50"/>
      <c r="I161" s="50"/>
      <c r="J161" s="50"/>
      <c r="K161" s="30"/>
      <c r="L161" s="30"/>
      <c r="M161" s="30"/>
      <c r="O161" s="30"/>
      <c r="P161" s="30"/>
      <c r="Q161" s="49"/>
      <c r="R161" s="48"/>
    </row>
    <row r="162" spans="1:40" x14ac:dyDescent="0.2">
      <c r="A162" s="2"/>
      <c r="B162" s="2"/>
      <c r="C162" s="2"/>
      <c r="D162" s="2"/>
      <c r="E162" s="2"/>
      <c r="G162" s="50"/>
      <c r="H162" s="50"/>
      <c r="I162" s="50"/>
      <c r="J162" s="50"/>
      <c r="K162" s="30"/>
      <c r="L162" s="30"/>
      <c r="M162" s="30"/>
      <c r="O162" s="30"/>
      <c r="P162" s="30"/>
      <c r="Q162" s="49"/>
      <c r="R162" s="48"/>
    </row>
    <row r="163" spans="1:40" x14ac:dyDescent="0.2">
      <c r="A163" s="2"/>
      <c r="B163" s="2"/>
      <c r="C163" s="2"/>
      <c r="D163" s="2"/>
      <c r="E163" s="2"/>
      <c r="K163" s="25"/>
      <c r="N163" s="25"/>
      <c r="AF163" s="37"/>
      <c r="AG163" s="37"/>
      <c r="AH163" s="37"/>
    </row>
    <row r="164" spans="1:40" x14ac:dyDescent="0.2">
      <c r="A164" s="2"/>
      <c r="B164" s="2"/>
      <c r="C164" s="2"/>
      <c r="D164" s="2"/>
      <c r="E164" s="2"/>
      <c r="G164" s="34" t="s">
        <v>80</v>
      </c>
      <c r="H164" s="145" t="s">
        <v>81</v>
      </c>
      <c r="I164" s="145"/>
      <c r="J164" s="145"/>
      <c r="K164" s="145"/>
      <c r="O164" s="25">
        <f>SUM(O3:O158)</f>
        <v>2885744301.5335746</v>
      </c>
      <c r="P164" s="25"/>
      <c r="AF164"/>
      <c r="AG164"/>
      <c r="AH164"/>
      <c r="AI164"/>
      <c r="AJ164"/>
      <c r="AK164"/>
      <c r="AL164"/>
      <c r="AM164"/>
      <c r="AN164"/>
    </row>
    <row r="165" spans="1:40" x14ac:dyDescent="0.2">
      <c r="A165" s="2"/>
      <c r="B165" s="2"/>
      <c r="C165" s="2"/>
      <c r="D165" s="2"/>
      <c r="E165" s="2"/>
      <c r="AF165"/>
      <c r="AG165"/>
      <c r="AH165"/>
      <c r="AI165"/>
      <c r="AJ165"/>
      <c r="AK165"/>
      <c r="AL165"/>
      <c r="AM165"/>
      <c r="AN165"/>
    </row>
    <row r="166" spans="1:40" x14ac:dyDescent="0.2">
      <c r="A166" s="2"/>
      <c r="B166" s="2"/>
      <c r="C166" s="2"/>
      <c r="D166" s="85" t="s">
        <v>82</v>
      </c>
      <c r="E166" s="85" t="s">
        <v>72</v>
      </c>
      <c r="F166" s="37" t="s">
        <v>73</v>
      </c>
      <c r="O166" s="55"/>
      <c r="Q166" s="76" t="s">
        <v>83</v>
      </c>
      <c r="R166" s="76" t="s">
        <v>72</v>
      </c>
      <c r="S166" s="76" t="s">
        <v>84</v>
      </c>
      <c r="AF166"/>
      <c r="AG166"/>
      <c r="AH166"/>
      <c r="AI166"/>
      <c r="AJ166"/>
      <c r="AK166"/>
      <c r="AL166"/>
      <c r="AM166"/>
      <c r="AN166"/>
    </row>
    <row r="167" spans="1:40" x14ac:dyDescent="0.2">
      <c r="A167" s="10">
        <v>2011</v>
      </c>
      <c r="B167" s="10"/>
      <c r="C167" s="10"/>
      <c r="D167" s="39">
        <f>SUMIF(B:B,A167,D:D)</f>
        <v>192782769.75999996</v>
      </c>
      <c r="E167" s="39">
        <f>SUMIF(B:B,A167,E:E)</f>
        <v>1113393.2546150328</v>
      </c>
      <c r="F167" s="5">
        <f>SUMIF(B:B,A167,F:F)</f>
        <v>193896163.01461503</v>
      </c>
      <c r="O167" s="55"/>
      <c r="Q167" s="5">
        <f>SUMIF(B:B,A167,O:O)</f>
        <v>193767672.86519656</v>
      </c>
      <c r="R167" s="55">
        <v>1113393.2546150328</v>
      </c>
      <c r="S167" s="55">
        <f>SUMIF(B:B,A167,P:P)</f>
        <v>192654279.61058152</v>
      </c>
      <c r="AF167"/>
      <c r="AG167"/>
      <c r="AH167"/>
      <c r="AI167"/>
      <c r="AJ167"/>
      <c r="AK167"/>
      <c r="AL167"/>
      <c r="AM167"/>
      <c r="AN167"/>
    </row>
    <row r="168" spans="1:40" x14ac:dyDescent="0.2">
      <c r="A168" s="10">
        <f>A167+1</f>
        <v>2012</v>
      </c>
      <c r="B168" s="10"/>
      <c r="C168" s="10"/>
      <c r="D168" s="39">
        <f t="shared" ref="D168:D176" si="164">SUMIF(B:B,A168,D:D)</f>
        <v>194206572.97999996</v>
      </c>
      <c r="E168" s="39">
        <f t="shared" ref="E168:E177" si="165">SUMIF(B:B,A168,E:E)</f>
        <v>2745090.4018907608</v>
      </c>
      <c r="F168" s="5">
        <f t="shared" ref="F168:F177" si="166">SUMIF(B:B,A168,F:F)</f>
        <v>196951663.38189071</v>
      </c>
      <c r="O168" s="55"/>
      <c r="Q168" s="5">
        <f t="shared" ref="Q168:Q179" si="167">SUMIF(B:B,A168,O:O)</f>
        <v>198468561.90151128</v>
      </c>
      <c r="R168" s="55">
        <v>2745090.4018907612</v>
      </c>
      <c r="S168" s="55">
        <f t="shared" ref="S168:S179" si="168">SUMIF(B:B,A168,P:P)</f>
        <v>195723471.49962053</v>
      </c>
      <c r="AF168"/>
      <c r="AG168"/>
      <c r="AH168"/>
      <c r="AI168"/>
      <c r="AJ168"/>
      <c r="AK168"/>
      <c r="AL168"/>
      <c r="AM168"/>
      <c r="AN168"/>
    </row>
    <row r="169" spans="1:40" x14ac:dyDescent="0.2">
      <c r="A169" s="10">
        <f t="shared" ref="A169:A179" si="169">A168+1</f>
        <v>2013</v>
      </c>
      <c r="B169" s="10"/>
      <c r="C169" s="10"/>
      <c r="D169" s="39">
        <f t="shared" si="164"/>
        <v>203179610.86000001</v>
      </c>
      <c r="E169" s="39">
        <f t="shared" si="165"/>
        <v>4136126.0645098011</v>
      </c>
      <c r="F169" s="5">
        <f t="shared" si="166"/>
        <v>207315736.92450976</v>
      </c>
      <c r="O169" s="55"/>
      <c r="Q169" s="5">
        <f t="shared" si="167"/>
        <v>207321997.29541242</v>
      </c>
      <c r="R169" s="55">
        <v>4136126.0645098006</v>
      </c>
      <c r="S169" s="55">
        <f t="shared" si="168"/>
        <v>203185871.23090261</v>
      </c>
      <c r="AF169"/>
      <c r="AG169"/>
      <c r="AH169"/>
      <c r="AI169"/>
      <c r="AJ169"/>
      <c r="AK169"/>
      <c r="AL169"/>
      <c r="AM169"/>
      <c r="AN169"/>
    </row>
    <row r="170" spans="1:40" x14ac:dyDescent="0.2">
      <c r="A170" s="10">
        <f t="shared" si="169"/>
        <v>2014</v>
      </c>
      <c r="D170" s="39">
        <f t="shared" si="164"/>
        <v>204924669.72999999</v>
      </c>
      <c r="E170" s="39">
        <f t="shared" si="165"/>
        <v>5768742.227565065</v>
      </c>
      <c r="F170" s="5">
        <f t="shared" si="166"/>
        <v>210693411.95756504</v>
      </c>
      <c r="O170" s="55"/>
      <c r="Q170" s="5">
        <f t="shared" si="167"/>
        <v>209685638.65562853</v>
      </c>
      <c r="R170" s="55">
        <v>5768742.227565066</v>
      </c>
      <c r="S170" s="55">
        <f t="shared" si="168"/>
        <v>203916896.42806345</v>
      </c>
      <c r="AF170"/>
      <c r="AG170"/>
      <c r="AH170"/>
      <c r="AI170"/>
      <c r="AJ170"/>
      <c r="AK170"/>
      <c r="AL170"/>
      <c r="AM170"/>
      <c r="AN170"/>
    </row>
    <row r="171" spans="1:40" x14ac:dyDescent="0.2">
      <c r="A171" s="10">
        <f t="shared" si="169"/>
        <v>2015</v>
      </c>
      <c r="B171" s="10"/>
      <c r="C171" s="10"/>
      <c r="D171" s="39">
        <f t="shared" si="164"/>
        <v>205449544.32771084</v>
      </c>
      <c r="E171" s="39">
        <f t="shared" si="165"/>
        <v>6660535.9734396851</v>
      </c>
      <c r="F171" s="5">
        <f t="shared" si="166"/>
        <v>212110080.3011505</v>
      </c>
      <c r="O171" s="55"/>
      <c r="Q171" s="5">
        <f t="shared" si="167"/>
        <v>211640757.27236637</v>
      </c>
      <c r="R171" s="55">
        <v>6660535.9734396851</v>
      </c>
      <c r="S171" s="55">
        <f t="shared" si="168"/>
        <v>204980221.29892671</v>
      </c>
      <c r="AF171"/>
      <c r="AG171"/>
      <c r="AH171"/>
      <c r="AI171"/>
      <c r="AJ171"/>
      <c r="AK171"/>
      <c r="AL171"/>
      <c r="AM171"/>
      <c r="AN171"/>
    </row>
    <row r="172" spans="1:40" x14ac:dyDescent="0.2">
      <c r="A172" s="10">
        <f t="shared" si="169"/>
        <v>2016</v>
      </c>
      <c r="D172" s="39">
        <f t="shared" si="164"/>
        <v>204715589.59036142</v>
      </c>
      <c r="E172" s="39">
        <f t="shared" si="165"/>
        <v>7892962.8518290883</v>
      </c>
      <c r="F172" s="5">
        <f t="shared" si="166"/>
        <v>212608552.4421905</v>
      </c>
      <c r="O172" s="55"/>
      <c r="Q172" s="5">
        <f t="shared" si="167"/>
        <v>211977878.70263147</v>
      </c>
      <c r="R172" s="55">
        <v>7892962.8518290874</v>
      </c>
      <c r="S172" s="55">
        <f t="shared" si="168"/>
        <v>204084915.85080245</v>
      </c>
      <c r="AF172"/>
      <c r="AG172"/>
      <c r="AH172"/>
      <c r="AI172"/>
      <c r="AJ172"/>
      <c r="AK172"/>
      <c r="AL172"/>
      <c r="AM172"/>
      <c r="AN172"/>
    </row>
    <row r="173" spans="1:40" x14ac:dyDescent="0.2">
      <c r="A173" s="10">
        <f t="shared" si="169"/>
        <v>2017</v>
      </c>
      <c r="B173" s="10"/>
      <c r="C173" s="10"/>
      <c r="D173" s="39">
        <f t="shared" si="164"/>
        <v>213633991.96144572</v>
      </c>
      <c r="E173" s="39">
        <f t="shared" si="165"/>
        <v>12308944.998419365</v>
      </c>
      <c r="F173" s="5">
        <f t="shared" si="166"/>
        <v>225942936.95986509</v>
      </c>
      <c r="O173" s="55"/>
      <c r="Q173" s="5">
        <f t="shared" si="167"/>
        <v>226834262.97747055</v>
      </c>
      <c r="R173" s="55">
        <v>12308944.998419363</v>
      </c>
      <c r="S173" s="55">
        <f t="shared" si="168"/>
        <v>214525317.9790512</v>
      </c>
      <c r="AF173"/>
      <c r="AG173"/>
      <c r="AH173"/>
      <c r="AI173"/>
      <c r="AJ173"/>
      <c r="AK173"/>
      <c r="AL173"/>
      <c r="AM173"/>
      <c r="AN173"/>
    </row>
    <row r="174" spans="1:40" x14ac:dyDescent="0.2">
      <c r="A174" s="10">
        <f t="shared" si="169"/>
        <v>2018</v>
      </c>
      <c r="D174" s="39">
        <f t="shared" si="164"/>
        <v>221806792.86746988</v>
      </c>
      <c r="E174" s="39">
        <f t="shared" si="165"/>
        <v>17083005.325519945</v>
      </c>
      <c r="F174" s="5">
        <f t="shared" si="166"/>
        <v>238889798.19298983</v>
      </c>
      <c r="O174" s="55"/>
      <c r="Q174" s="5">
        <f t="shared" si="167"/>
        <v>237351073.75078693</v>
      </c>
      <c r="R174" s="55">
        <v>17083005.325519945</v>
      </c>
      <c r="S174" s="55">
        <f t="shared" si="168"/>
        <v>220268068.42526704</v>
      </c>
      <c r="AF174"/>
      <c r="AG174"/>
      <c r="AH174"/>
      <c r="AI174"/>
      <c r="AJ174"/>
      <c r="AK174"/>
      <c r="AL174"/>
      <c r="AM174"/>
      <c r="AN174"/>
    </row>
    <row r="175" spans="1:40" x14ac:dyDescent="0.2">
      <c r="A175" s="10">
        <f t="shared" si="169"/>
        <v>2019</v>
      </c>
      <c r="B175" s="10"/>
      <c r="C175" s="10"/>
      <c r="D175" s="39">
        <f t="shared" si="164"/>
        <v>220154820.13493976</v>
      </c>
      <c r="E175" s="39">
        <f t="shared" si="165"/>
        <v>19187967.141494256</v>
      </c>
      <c r="F175" s="5">
        <f t="shared" si="166"/>
        <v>239342787.27643397</v>
      </c>
      <c r="O175" s="55"/>
      <c r="Q175" s="5">
        <f t="shared" si="167"/>
        <v>239330652.38764596</v>
      </c>
      <c r="R175" s="55">
        <v>19187967.141494252</v>
      </c>
      <c r="S175" s="55">
        <f t="shared" si="168"/>
        <v>220142685.24615172</v>
      </c>
      <c r="AF175"/>
      <c r="AG175"/>
      <c r="AH175"/>
      <c r="AI175"/>
      <c r="AJ175"/>
      <c r="AK175"/>
      <c r="AL175"/>
      <c r="AM175"/>
      <c r="AN175"/>
    </row>
    <row r="176" spans="1:40" x14ac:dyDescent="0.2">
      <c r="A176" s="10">
        <f t="shared" si="169"/>
        <v>2020</v>
      </c>
      <c r="D176" s="39">
        <f t="shared" si="164"/>
        <v>209733279.5373494</v>
      </c>
      <c r="E176" s="39">
        <f t="shared" si="165"/>
        <v>19633009.963500582</v>
      </c>
      <c r="F176" s="5">
        <f t="shared" si="166"/>
        <v>229366289.50085002</v>
      </c>
      <c r="O176" s="55"/>
      <c r="Q176" s="5">
        <f t="shared" si="167"/>
        <v>230197987.63450533</v>
      </c>
      <c r="R176" s="55">
        <v>19633009.963500582</v>
      </c>
      <c r="S176" s="55">
        <f t="shared" si="168"/>
        <v>210564977.67100477</v>
      </c>
      <c r="T176" s="5"/>
      <c r="AF176"/>
      <c r="AG176"/>
      <c r="AH176"/>
      <c r="AI176"/>
      <c r="AJ176"/>
      <c r="AK176"/>
      <c r="AL176"/>
      <c r="AM176"/>
      <c r="AN176"/>
    </row>
    <row r="177" spans="1:40" x14ac:dyDescent="0.2">
      <c r="A177" s="10">
        <f t="shared" si="169"/>
        <v>2021</v>
      </c>
      <c r="B177" s="10"/>
      <c r="C177" s="10"/>
      <c r="D177" s="39">
        <f>SUMIF(B:B,A177,D:D)</f>
        <v>214209551.57590359</v>
      </c>
      <c r="E177" s="39">
        <f t="shared" si="165"/>
        <v>19281454.115713559</v>
      </c>
      <c r="F177" s="5">
        <f t="shared" si="166"/>
        <v>233491005.69161713</v>
      </c>
      <c r="O177" s="55"/>
      <c r="Q177" s="5">
        <f t="shared" si="167"/>
        <v>233903452.05110356</v>
      </c>
      <c r="R177" s="55">
        <v>19281454.115713555</v>
      </c>
      <c r="S177" s="55">
        <f t="shared" si="168"/>
        <v>214621997.93539</v>
      </c>
      <c r="T177" s="5"/>
      <c r="AF177"/>
      <c r="AG177"/>
      <c r="AH177"/>
      <c r="AI177"/>
      <c r="AJ177"/>
      <c r="AK177"/>
      <c r="AL177"/>
      <c r="AM177"/>
      <c r="AN177"/>
    </row>
    <row r="178" spans="1:40" x14ac:dyDescent="0.2">
      <c r="A178" s="10">
        <f t="shared" si="169"/>
        <v>2022</v>
      </c>
      <c r="B178" s="10"/>
      <c r="C178" s="10"/>
      <c r="D178" s="39"/>
      <c r="E178" s="39"/>
      <c r="O178" s="55"/>
      <c r="Q178" s="5">
        <f t="shared" si="167"/>
        <v>238462381.10523975</v>
      </c>
      <c r="R178" s="55">
        <v>18315392.8548957</v>
      </c>
      <c r="S178" s="55">
        <f t="shared" si="168"/>
        <v>220146988.25034407</v>
      </c>
      <c r="AF178"/>
      <c r="AG178"/>
      <c r="AH178"/>
      <c r="AI178"/>
      <c r="AJ178"/>
      <c r="AK178"/>
      <c r="AL178"/>
      <c r="AM178"/>
      <c r="AN178"/>
    </row>
    <row r="179" spans="1:40" x14ac:dyDescent="0.2">
      <c r="A179" s="10">
        <f t="shared" si="169"/>
        <v>2023</v>
      </c>
      <c r="D179" s="39"/>
      <c r="E179" s="39"/>
      <c r="K179" s="41"/>
      <c r="L179" s="41"/>
      <c r="M179" s="41"/>
      <c r="O179" s="52"/>
      <c r="P179" s="41"/>
      <c r="Q179" s="5">
        <f t="shared" si="167"/>
        <v>246801984.93407446</v>
      </c>
      <c r="R179" s="55">
        <v>17238383.029746085</v>
      </c>
      <c r="S179" s="55">
        <f t="shared" si="168"/>
        <v>229563601.90432838</v>
      </c>
      <c r="T179" s="75"/>
      <c r="AF179"/>
      <c r="AG179"/>
      <c r="AH179"/>
      <c r="AI179"/>
      <c r="AJ179"/>
      <c r="AK179"/>
      <c r="AL179"/>
      <c r="AM179"/>
      <c r="AN179"/>
    </row>
    <row r="180" spans="1:40" x14ac:dyDescent="0.2">
      <c r="A180" s="27" t="s">
        <v>94</v>
      </c>
      <c r="B180" s="27"/>
      <c r="C180" s="27"/>
      <c r="D180" s="27"/>
      <c r="E180" s="27"/>
      <c r="L180" s="55"/>
      <c r="M180" s="55"/>
      <c r="P180" s="5"/>
      <c r="Q180" s="5"/>
      <c r="R180" s="5"/>
      <c r="S180" s="1"/>
      <c r="AF180"/>
      <c r="AG180"/>
      <c r="AH180"/>
      <c r="AI180"/>
      <c r="AJ180"/>
      <c r="AK180"/>
      <c r="AL180"/>
      <c r="AM180"/>
      <c r="AN180"/>
    </row>
    <row r="181" spans="1:40" x14ac:dyDescent="0.2">
      <c r="L181" s="55"/>
      <c r="M181" s="55"/>
      <c r="S181" s="1"/>
      <c r="AF181"/>
      <c r="AG181"/>
      <c r="AH181"/>
      <c r="AI181"/>
      <c r="AJ181"/>
      <c r="AK181"/>
      <c r="AL181"/>
      <c r="AM181"/>
      <c r="AN181"/>
    </row>
    <row r="182" spans="1:40" x14ac:dyDescent="0.2">
      <c r="G182" s="51"/>
      <c r="H182" s="41"/>
      <c r="I182" s="41"/>
      <c r="J182" s="41"/>
      <c r="K182" s="41"/>
      <c r="L182" s="52"/>
      <c r="M182" s="52"/>
      <c r="N182" s="41"/>
      <c r="S182" s="39"/>
    </row>
    <row r="184" spans="1:40" x14ac:dyDescent="0.2">
      <c r="S184" s="39"/>
    </row>
    <row r="185" spans="1:40" x14ac:dyDescent="0.2">
      <c r="S185" s="39"/>
    </row>
    <row r="190" spans="1:40" x14ac:dyDescent="0.2">
      <c r="AF190" s="37"/>
      <c r="AG190" s="37"/>
      <c r="AH190" s="37"/>
    </row>
  </sheetData>
  <mergeCells count="4">
    <mergeCell ref="AF4:AG4"/>
    <mergeCell ref="AH19:AI19"/>
    <mergeCell ref="H164:K164"/>
    <mergeCell ref="A1:G1"/>
  </mergeCells>
  <pageMargins left="0.39370078740157483" right="0.74803149606299213" top="0.55118110236220474" bottom="0.55118110236220474" header="0.51181102362204722" footer="0.51181102362204722"/>
  <pageSetup orientation="portrait" r:id="rId1"/>
  <headerFooter alignWithMargins="0"/>
  <rowBreaks count="1" manualBreakCount="1">
    <brk id="110" max="38" man="1"/>
  </rowBreaks>
  <colBreaks count="2" manualBreakCount="2">
    <brk id="18" max="1048575" man="1"/>
    <brk id="28" max="222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2EF57-9398-4C13-A418-F9FEB47253C4}">
  <sheetPr>
    <tabColor theme="9" tint="0.79998168889431442"/>
  </sheetPr>
  <dimension ref="A1:AW195"/>
  <sheetViews>
    <sheetView zoomScale="80" zoomScaleNormal="80" workbookViewId="0">
      <pane xSplit="1" ySplit="2" topLeftCell="I21" activePane="bottomRight" state="frozen"/>
      <selection activeCell="V159" sqref="V159"/>
      <selection pane="topRight" activeCell="V159" sqref="V159"/>
      <selection pane="bottomLeft" activeCell="V159" sqref="V159"/>
      <selection pane="bottomRight" activeCell="AB30" sqref="AB30"/>
    </sheetView>
  </sheetViews>
  <sheetFormatPr defaultRowHeight="12.75" x14ac:dyDescent="0.2"/>
  <cols>
    <col min="1" max="3" width="11.85546875" customWidth="1"/>
    <col min="4" max="4" width="14.85546875" customWidth="1"/>
    <col min="5" max="5" width="11.85546875" customWidth="1"/>
    <col min="6" max="6" width="13" style="5" bestFit="1" customWidth="1"/>
    <col min="7" max="7" width="10.85546875" style="1" customWidth="1"/>
    <col min="8" max="10" width="11.85546875" style="1" customWidth="1"/>
    <col min="11" max="11" width="8" style="1" customWidth="1"/>
    <col min="12" max="12" width="13.5703125" style="55" bestFit="1" customWidth="1"/>
    <col min="13" max="13" width="10.140625" style="1" customWidth="1"/>
    <col min="14" max="14" width="14.7109375" style="1" customWidth="1"/>
    <col min="15" max="15" width="16" style="1" bestFit="1" customWidth="1"/>
    <col min="16" max="16" width="16" style="1" customWidth="1"/>
    <col min="17" max="17" width="15.140625" style="1" bestFit="1" customWidth="1"/>
    <col min="18" max="18" width="14.42578125" style="1" customWidth="1"/>
    <col min="19" max="19" width="22.42578125" bestFit="1" customWidth="1"/>
    <col min="20" max="20" width="13" customWidth="1"/>
    <col min="21" max="21" width="18.85546875" bestFit="1" customWidth="1"/>
    <col min="22" max="22" width="13.7109375" bestFit="1" customWidth="1"/>
    <col min="23" max="23" width="13" bestFit="1" customWidth="1"/>
    <col min="24" max="24" width="14.85546875" bestFit="1" customWidth="1"/>
    <col min="25" max="27" width="13.7109375" bestFit="1" customWidth="1"/>
    <col min="28" max="29" width="13" bestFit="1" customWidth="1"/>
    <col min="30" max="30" width="12.28515625" bestFit="1" customWidth="1"/>
    <col min="31" max="32" width="12.28515625" style="5" bestFit="1" customWidth="1"/>
    <col min="33" max="39" width="12.7109375" style="5" customWidth="1"/>
    <col min="40" max="49" width="12.7109375" customWidth="1"/>
  </cols>
  <sheetData>
    <row r="1" spans="1:45" ht="20.25" customHeight="1" x14ac:dyDescent="0.25">
      <c r="A1" s="134" t="s">
        <v>131</v>
      </c>
      <c r="B1" s="134"/>
      <c r="C1" s="134"/>
      <c r="D1" s="59"/>
      <c r="E1" s="59"/>
      <c r="F1" s="59"/>
      <c r="G1" s="60"/>
      <c r="L1" s="1"/>
    </row>
    <row r="2" spans="1:45" ht="42" customHeight="1" x14ac:dyDescent="0.2">
      <c r="D2" s="88" t="s">
        <v>0</v>
      </c>
      <c r="E2" s="88" t="s">
        <v>1</v>
      </c>
      <c r="F2" s="88" t="s">
        <v>2</v>
      </c>
      <c r="G2" s="78" t="s">
        <v>15</v>
      </c>
      <c r="H2" s="78" t="s">
        <v>16</v>
      </c>
      <c r="I2" s="78" t="str">
        <f>G2&amp;"Norm"</f>
        <v>HDD14Norm</v>
      </c>
      <c r="J2" s="78" t="str">
        <f>H2&amp;"Norm"</f>
        <v>CDD14Norm</v>
      </c>
      <c r="K2" s="7" t="s">
        <v>85</v>
      </c>
      <c r="L2" s="7" t="s">
        <v>75</v>
      </c>
      <c r="M2" s="7" t="s">
        <v>9</v>
      </c>
      <c r="N2" s="80" t="s">
        <v>12</v>
      </c>
      <c r="O2" s="7" t="s">
        <v>76</v>
      </c>
      <c r="P2" s="7" t="s">
        <v>84</v>
      </c>
      <c r="Q2" s="7" t="s">
        <v>78</v>
      </c>
      <c r="R2" s="7" t="s">
        <v>79</v>
      </c>
      <c r="AE2" s="6"/>
      <c r="AF2" s="6"/>
      <c r="AG2" s="6"/>
    </row>
    <row r="3" spans="1:45" ht="12.75" customHeight="1" x14ac:dyDescent="0.2">
      <c r="A3" s="2">
        <v>40544</v>
      </c>
      <c r="B3">
        <f>YEAR(A3)</f>
        <v>2011</v>
      </c>
      <c r="C3">
        <f>MONTH(A3)</f>
        <v>1</v>
      </c>
      <c r="D3" s="88">
        <v>6855369.9400000023</v>
      </c>
      <c r="E3" s="88">
        <v>9467.620679902544</v>
      </c>
      <c r="F3" s="88">
        <v>6864837.5606799051</v>
      </c>
      <c r="G3" s="78">
        <v>651.30000000000007</v>
      </c>
      <c r="H3" s="78">
        <v>0</v>
      </c>
      <c r="I3" s="78">
        <f t="shared" ref="I3:J18" si="0">I15</f>
        <v>557.82052631578927</v>
      </c>
      <c r="J3" s="78">
        <f t="shared" si="0"/>
        <v>0</v>
      </c>
      <c r="K3" s="30">
        <v>0</v>
      </c>
      <c r="L3" s="30">
        <v>2283</v>
      </c>
      <c r="M3" s="30">
        <v>1</v>
      </c>
      <c r="N3" s="81">
        <v>0</v>
      </c>
      <c r="O3" s="30">
        <f>F3+(I3-G3)*$T$20+(J3-H3)*$T$21</f>
        <v>6543269.5310846046</v>
      </c>
      <c r="P3" s="30">
        <f t="shared" ref="P3:P66" si="1">O3-E3</f>
        <v>6533801.9104047017</v>
      </c>
      <c r="Q3" s="31">
        <f t="shared" ref="Q3:Q66" si="2">+O3-F3</f>
        <v>-321568.02959530056</v>
      </c>
      <c r="R3" s="48">
        <f t="shared" ref="R3:R66" si="3">ABS(Q3/F3)</f>
        <v>4.684277329986114E-2</v>
      </c>
      <c r="AE3"/>
      <c r="AF3" s="37"/>
      <c r="AG3" s="62"/>
      <c r="AH3" s="49"/>
      <c r="AI3" s="70"/>
      <c r="AJ3" s="70"/>
      <c r="AK3" s="103"/>
      <c r="AL3" s="70"/>
      <c r="AM3" s="70"/>
      <c r="AN3" s="98"/>
      <c r="AO3" s="103"/>
      <c r="AP3" s="64"/>
      <c r="AQ3" s="64"/>
      <c r="AR3" s="5"/>
    </row>
    <row r="4" spans="1:45" x14ac:dyDescent="0.2">
      <c r="A4" s="2">
        <v>40575</v>
      </c>
      <c r="B4">
        <f t="shared" ref="B4:B67" si="4">YEAR(A4)</f>
        <v>2011</v>
      </c>
      <c r="C4">
        <f t="shared" ref="C4:C67" si="5">MONTH(A4)</f>
        <v>2</v>
      </c>
      <c r="D4" s="88">
        <v>7477521.3800000027</v>
      </c>
      <c r="E4" s="88">
        <v>9467.620679902544</v>
      </c>
      <c r="F4" s="88">
        <v>7486989.0006799055</v>
      </c>
      <c r="G4" s="78">
        <v>542.20000000000016</v>
      </c>
      <c r="H4" s="78">
        <v>0</v>
      </c>
      <c r="I4" s="78">
        <f t="shared" si="0"/>
        <v>513.95684210526292</v>
      </c>
      <c r="J4" s="78">
        <f t="shared" si="0"/>
        <v>0</v>
      </c>
      <c r="K4" s="30">
        <v>0</v>
      </c>
      <c r="L4" s="30">
        <v>2302</v>
      </c>
      <c r="M4" s="30">
        <v>2</v>
      </c>
      <c r="N4" s="81">
        <v>0</v>
      </c>
      <c r="O4" s="30">
        <f t="shared" ref="O4:O67" si="6">F4+(I4-G4)*$T$20+(J4-H4)*$T$21</f>
        <v>7389832.9483850412</v>
      </c>
      <c r="P4" s="30">
        <f t="shared" si="1"/>
        <v>7380365.3277051384</v>
      </c>
      <c r="Q4" s="31">
        <f t="shared" si="2"/>
        <v>-97156.052294864319</v>
      </c>
      <c r="R4" s="48">
        <f t="shared" si="3"/>
        <v>1.2976652201043893E-2</v>
      </c>
      <c r="AE4"/>
      <c r="AF4" s="37"/>
      <c r="AG4" s="49"/>
      <c r="AH4" s="70"/>
      <c r="AI4" s="70"/>
      <c r="AJ4" s="70"/>
      <c r="AK4" s="98"/>
      <c r="AL4" s="107"/>
      <c r="AM4" s="70"/>
      <c r="AN4" s="98"/>
      <c r="AO4" s="98"/>
      <c r="AP4" s="64"/>
      <c r="AQ4" s="64"/>
      <c r="AR4" s="5"/>
    </row>
    <row r="5" spans="1:45" x14ac:dyDescent="0.2">
      <c r="A5" s="2">
        <v>40603</v>
      </c>
      <c r="B5">
        <f t="shared" si="4"/>
        <v>2011</v>
      </c>
      <c r="C5">
        <f t="shared" si="5"/>
        <v>3</v>
      </c>
      <c r="D5" s="88">
        <v>7152568.5900000026</v>
      </c>
      <c r="E5" s="88">
        <v>9467.620679902544</v>
      </c>
      <c r="F5" s="88">
        <v>7162036.2106799055</v>
      </c>
      <c r="G5" s="78">
        <v>448.8</v>
      </c>
      <c r="H5" s="78">
        <v>0</v>
      </c>
      <c r="I5" s="78">
        <f t="shared" si="0"/>
        <v>400.06210526315817</v>
      </c>
      <c r="J5" s="78">
        <f t="shared" si="0"/>
        <v>0.74263157894736409</v>
      </c>
      <c r="K5" s="30">
        <v>0</v>
      </c>
      <c r="L5" s="30">
        <v>2305</v>
      </c>
      <c r="M5" s="30">
        <v>3</v>
      </c>
      <c r="N5" s="81">
        <v>0</v>
      </c>
      <c r="O5" s="30">
        <f t="shared" si="6"/>
        <v>6998065.4821060551</v>
      </c>
      <c r="P5" s="30">
        <f t="shared" si="1"/>
        <v>6988597.8614261523</v>
      </c>
      <c r="Q5" s="31">
        <f t="shared" si="2"/>
        <v>-163970.72857385036</v>
      </c>
      <c r="R5" s="48">
        <f t="shared" si="3"/>
        <v>2.289442886777646E-2</v>
      </c>
      <c r="AE5"/>
      <c r="AF5" s="49"/>
      <c r="AG5" s="49"/>
      <c r="AH5" s="70"/>
      <c r="AI5" s="70"/>
      <c r="AJ5" s="70"/>
      <c r="AK5" s="98"/>
      <c r="AL5" s="107"/>
      <c r="AM5" s="70"/>
      <c r="AN5" s="98"/>
      <c r="AO5" s="98"/>
      <c r="AP5" s="63"/>
      <c r="AQ5" s="64"/>
      <c r="AR5" s="5"/>
    </row>
    <row r="6" spans="1:45" ht="12.75" customHeight="1" x14ac:dyDescent="0.2">
      <c r="A6" s="2">
        <v>40634</v>
      </c>
      <c r="B6">
        <f t="shared" si="4"/>
        <v>2011</v>
      </c>
      <c r="C6">
        <f t="shared" si="5"/>
        <v>4</v>
      </c>
      <c r="D6" s="88">
        <v>6467080.2400000058</v>
      </c>
      <c r="E6" s="88">
        <v>9467.620679902544</v>
      </c>
      <c r="F6" s="88">
        <v>6476547.8606799087</v>
      </c>
      <c r="G6" s="78">
        <v>213.6</v>
      </c>
      <c r="H6" s="78">
        <v>1.3000000000000007</v>
      </c>
      <c r="I6" s="78">
        <f t="shared" si="0"/>
        <v>225.72052631578936</v>
      </c>
      <c r="J6" s="78">
        <f t="shared" si="0"/>
        <v>0</v>
      </c>
      <c r="K6" s="30">
        <v>0</v>
      </c>
      <c r="L6" s="30">
        <v>2308</v>
      </c>
      <c r="M6" s="30">
        <v>4</v>
      </c>
      <c r="N6" s="81">
        <v>0</v>
      </c>
      <c r="O6" s="30">
        <f t="shared" si="6"/>
        <v>6511788.224597632</v>
      </c>
      <c r="P6" s="30">
        <f t="shared" si="1"/>
        <v>6502320.6039177291</v>
      </c>
      <c r="Q6" s="31">
        <f t="shared" si="2"/>
        <v>35240.363917723298</v>
      </c>
      <c r="R6" s="48">
        <f t="shared" si="3"/>
        <v>5.4412265107578097E-3</v>
      </c>
      <c r="AE6"/>
      <c r="AG6" s="70"/>
      <c r="AH6" s="65"/>
      <c r="AJ6" s="37"/>
      <c r="AL6" s="108"/>
      <c r="AM6" s="108"/>
      <c r="AN6" s="5"/>
      <c r="AO6" s="5"/>
      <c r="AP6" s="5"/>
      <c r="AQ6" s="5"/>
      <c r="AR6" s="5"/>
      <c r="AS6" s="27"/>
    </row>
    <row r="7" spans="1:45" x14ac:dyDescent="0.2">
      <c r="A7" s="2">
        <v>40664</v>
      </c>
      <c r="B7">
        <f t="shared" si="4"/>
        <v>2011</v>
      </c>
      <c r="C7">
        <f t="shared" si="5"/>
        <v>5</v>
      </c>
      <c r="D7" s="88">
        <v>6394046.8700000048</v>
      </c>
      <c r="E7" s="88">
        <v>9467.620679902544</v>
      </c>
      <c r="F7" s="88">
        <v>6403514.4906799076</v>
      </c>
      <c r="G7" s="78">
        <v>50.8</v>
      </c>
      <c r="H7" s="78">
        <v>53.7</v>
      </c>
      <c r="I7" s="78">
        <f t="shared" si="0"/>
        <v>59.688947368421054</v>
      </c>
      <c r="J7" s="78">
        <f t="shared" si="0"/>
        <v>80.273684210525971</v>
      </c>
      <c r="K7" s="30">
        <v>0</v>
      </c>
      <c r="L7" s="30">
        <v>2306</v>
      </c>
      <c r="M7" s="30">
        <v>5</v>
      </c>
      <c r="N7" s="81">
        <v>0</v>
      </c>
      <c r="O7" s="30">
        <f t="shared" si="6"/>
        <v>6566021.8985332157</v>
      </c>
      <c r="P7" s="30">
        <f t="shared" si="1"/>
        <v>6556554.2778533129</v>
      </c>
      <c r="Q7" s="31">
        <f t="shared" si="2"/>
        <v>162507.40785330813</v>
      </c>
      <c r="R7" s="48">
        <f t="shared" si="3"/>
        <v>2.5377846507543943E-2</v>
      </c>
      <c r="AE7"/>
      <c r="AG7" s="70"/>
      <c r="AH7" s="65"/>
      <c r="AI7" s="37"/>
      <c r="AJ7" s="37"/>
      <c r="AL7" s="108"/>
      <c r="AM7" s="108"/>
      <c r="AN7" s="5"/>
      <c r="AO7" s="5"/>
      <c r="AP7" s="5"/>
      <c r="AQ7" s="5"/>
      <c r="AR7" s="5"/>
      <c r="AS7" s="27"/>
    </row>
    <row r="8" spans="1:45" x14ac:dyDescent="0.2">
      <c r="A8" s="2">
        <v>40695</v>
      </c>
      <c r="B8">
        <f t="shared" si="4"/>
        <v>2011</v>
      </c>
      <c r="C8">
        <f t="shared" si="5"/>
        <v>6</v>
      </c>
      <c r="D8" s="88">
        <v>6868428.5200000014</v>
      </c>
      <c r="E8" s="88">
        <v>9467.620679902544</v>
      </c>
      <c r="F8" s="88">
        <v>6877896.1406799043</v>
      </c>
      <c r="G8" s="78">
        <v>0</v>
      </c>
      <c r="H8" s="78">
        <v>153.20000000000002</v>
      </c>
      <c r="I8" s="78">
        <f t="shared" si="0"/>
        <v>1.08894736842106</v>
      </c>
      <c r="J8" s="78">
        <f t="shared" si="0"/>
        <v>177.38052631578967</v>
      </c>
      <c r="K8" s="30">
        <v>0</v>
      </c>
      <c r="L8" s="30">
        <v>2316</v>
      </c>
      <c r="M8" s="30">
        <v>6</v>
      </c>
      <c r="N8" s="81">
        <v>0</v>
      </c>
      <c r="O8" s="30">
        <f t="shared" si="6"/>
        <v>7001690.4241096629</v>
      </c>
      <c r="P8" s="30">
        <f t="shared" si="1"/>
        <v>6992222.80342976</v>
      </c>
      <c r="Q8" s="31">
        <f t="shared" si="2"/>
        <v>123794.28342975862</v>
      </c>
      <c r="R8" s="48">
        <f t="shared" si="3"/>
        <v>1.7998859083894383E-2</v>
      </c>
      <c r="AE8"/>
      <c r="AG8" s="70"/>
      <c r="AH8" s="65"/>
      <c r="AI8" s="37"/>
      <c r="AJ8" s="37"/>
      <c r="AL8" s="108"/>
      <c r="AM8" s="108"/>
      <c r="AN8" s="5"/>
      <c r="AO8" s="5"/>
      <c r="AP8" s="5"/>
      <c r="AQ8" s="5"/>
      <c r="AR8" s="5"/>
      <c r="AS8" s="27"/>
    </row>
    <row r="9" spans="1:45" x14ac:dyDescent="0.2">
      <c r="A9" s="2">
        <v>40725</v>
      </c>
      <c r="B9">
        <f t="shared" si="4"/>
        <v>2011</v>
      </c>
      <c r="C9">
        <f t="shared" si="5"/>
        <v>7</v>
      </c>
      <c r="D9" s="88">
        <v>7225446.5600000024</v>
      </c>
      <c r="E9" s="88">
        <v>9467.620679902544</v>
      </c>
      <c r="F9" s="88">
        <v>7234914.1806799052</v>
      </c>
      <c r="G9" s="78">
        <v>0</v>
      </c>
      <c r="H9" s="78">
        <v>322.29999999999995</v>
      </c>
      <c r="I9" s="78">
        <f t="shared" si="0"/>
        <v>0</v>
      </c>
      <c r="J9" s="78">
        <f t="shared" si="0"/>
        <v>273.7568421052631</v>
      </c>
      <c r="K9" s="30">
        <v>0</v>
      </c>
      <c r="L9" s="30">
        <v>2335</v>
      </c>
      <c r="M9" s="30">
        <v>7</v>
      </c>
      <c r="N9" s="81">
        <v>0</v>
      </c>
      <c r="O9" s="30">
        <f t="shared" si="6"/>
        <v>6993913.4475955591</v>
      </c>
      <c r="P9" s="30">
        <f t="shared" si="1"/>
        <v>6984445.8269156562</v>
      </c>
      <c r="Q9" s="31">
        <f t="shared" si="2"/>
        <v>-241000.73308434617</v>
      </c>
      <c r="R9" s="48">
        <f t="shared" si="3"/>
        <v>3.331079361354608E-2</v>
      </c>
      <c r="AE9"/>
      <c r="AG9" s="70"/>
      <c r="AH9" s="65"/>
      <c r="AI9" s="37"/>
      <c r="AJ9" s="37"/>
      <c r="AL9" s="108"/>
      <c r="AM9" s="108"/>
      <c r="AN9" s="5"/>
      <c r="AO9" s="5"/>
      <c r="AP9" s="5"/>
      <c r="AQ9" s="5"/>
      <c r="AR9" s="5"/>
      <c r="AS9" s="27"/>
    </row>
    <row r="10" spans="1:45" x14ac:dyDescent="0.2">
      <c r="A10" s="2">
        <v>40756</v>
      </c>
      <c r="B10">
        <f t="shared" si="4"/>
        <v>2011</v>
      </c>
      <c r="C10">
        <f t="shared" si="5"/>
        <v>8</v>
      </c>
      <c r="D10" s="88">
        <v>7335384.9100000048</v>
      </c>
      <c r="E10" s="88">
        <v>9467.620679902544</v>
      </c>
      <c r="F10" s="88">
        <v>7344852.5306799076</v>
      </c>
      <c r="G10" s="78">
        <v>0</v>
      </c>
      <c r="H10" s="78">
        <v>246.19999999999996</v>
      </c>
      <c r="I10" s="78">
        <f t="shared" si="0"/>
        <v>0</v>
      </c>
      <c r="J10" s="78">
        <f t="shared" si="0"/>
        <v>253.05789473684217</v>
      </c>
      <c r="K10" s="30">
        <v>0</v>
      </c>
      <c r="L10" s="30">
        <v>2354</v>
      </c>
      <c r="M10" s="30">
        <v>8</v>
      </c>
      <c r="N10" s="81">
        <v>0</v>
      </c>
      <c r="O10" s="30">
        <f t="shared" si="6"/>
        <v>7378899.711182218</v>
      </c>
      <c r="P10" s="30">
        <f t="shared" si="1"/>
        <v>7369432.0905023152</v>
      </c>
      <c r="Q10" s="31">
        <f t="shared" si="2"/>
        <v>34047.180502310395</v>
      </c>
      <c r="R10" s="48">
        <f t="shared" si="3"/>
        <v>4.6355158745656497E-3</v>
      </c>
      <c r="AE10"/>
      <c r="AG10" s="70"/>
      <c r="AH10" s="65"/>
      <c r="AI10" s="37"/>
      <c r="AJ10" s="37"/>
      <c r="AL10" s="108"/>
      <c r="AM10" s="108"/>
      <c r="AN10" s="5"/>
      <c r="AO10" s="5"/>
      <c r="AP10" s="5"/>
      <c r="AQ10" s="5"/>
      <c r="AR10" s="5"/>
      <c r="AS10" s="27"/>
    </row>
    <row r="11" spans="1:45" x14ac:dyDescent="0.2">
      <c r="A11" s="2">
        <v>40787</v>
      </c>
      <c r="B11">
        <f t="shared" si="4"/>
        <v>2011</v>
      </c>
      <c r="C11">
        <f t="shared" si="5"/>
        <v>9</v>
      </c>
      <c r="D11" s="88">
        <v>6365381.4099999992</v>
      </c>
      <c r="E11" s="88">
        <v>9467.620679902544</v>
      </c>
      <c r="F11" s="88">
        <v>6374849.0306799021</v>
      </c>
      <c r="G11" s="78">
        <v>9</v>
      </c>
      <c r="H11" s="78">
        <v>120.3</v>
      </c>
      <c r="I11" s="78">
        <f t="shared" si="0"/>
        <v>9.9542105263157907</v>
      </c>
      <c r="J11" s="78">
        <f t="shared" si="0"/>
        <v>120.49421052631581</v>
      </c>
      <c r="K11" s="30">
        <v>1</v>
      </c>
      <c r="L11" s="30">
        <v>2360</v>
      </c>
      <c r="M11" s="30">
        <v>9</v>
      </c>
      <c r="N11" s="81">
        <v>0</v>
      </c>
      <c r="O11" s="30">
        <f t="shared" si="6"/>
        <v>6379095.6920763757</v>
      </c>
      <c r="P11" s="30">
        <f t="shared" si="1"/>
        <v>6369628.0713964729</v>
      </c>
      <c r="Q11" s="31">
        <f t="shared" si="2"/>
        <v>4246.6613964736462</v>
      </c>
      <c r="R11" s="48">
        <f t="shared" si="3"/>
        <v>6.6615873976559462E-4</v>
      </c>
      <c r="AE11"/>
      <c r="AG11" s="70"/>
      <c r="AH11" s="65"/>
      <c r="AI11" s="37"/>
      <c r="AJ11" s="37"/>
      <c r="AL11" s="108"/>
      <c r="AM11" s="108"/>
      <c r="AN11" s="5"/>
      <c r="AO11" s="5"/>
      <c r="AP11" s="5"/>
      <c r="AQ11" s="5"/>
      <c r="AR11" s="5"/>
      <c r="AS11" s="27"/>
    </row>
    <row r="12" spans="1:45" ht="13.5" customHeight="1" x14ac:dyDescent="0.2">
      <c r="A12" s="2">
        <v>40817</v>
      </c>
      <c r="B12">
        <f t="shared" si="4"/>
        <v>2011</v>
      </c>
      <c r="C12">
        <f t="shared" si="5"/>
        <v>10</v>
      </c>
      <c r="D12" s="88">
        <v>6187538.6099999947</v>
      </c>
      <c r="E12" s="88">
        <v>9467.620679902544</v>
      </c>
      <c r="F12" s="88">
        <v>6197006.2306798976</v>
      </c>
      <c r="G12" s="78">
        <v>131.60000000000002</v>
      </c>
      <c r="H12" s="78">
        <v>22.599999999999994</v>
      </c>
      <c r="I12" s="78">
        <f t="shared" si="0"/>
        <v>107.70315789473716</v>
      </c>
      <c r="J12" s="78">
        <f t="shared" si="0"/>
        <v>25.808421052631616</v>
      </c>
      <c r="K12" s="30">
        <v>1</v>
      </c>
      <c r="L12" s="30">
        <v>2364</v>
      </c>
      <c r="M12" s="30">
        <v>10</v>
      </c>
      <c r="N12" s="81">
        <v>0</v>
      </c>
      <c r="O12" s="30">
        <f t="shared" si="6"/>
        <v>6130730.1914613396</v>
      </c>
      <c r="P12" s="30">
        <f t="shared" si="1"/>
        <v>6121262.5707814367</v>
      </c>
      <c r="Q12" s="31">
        <f t="shared" si="2"/>
        <v>-66276.039218557999</v>
      </c>
      <c r="R12" s="48">
        <f t="shared" si="3"/>
        <v>1.0694847923573347E-2</v>
      </c>
      <c r="AE12"/>
      <c r="AG12" s="70"/>
      <c r="AH12" s="65"/>
      <c r="AI12" s="37"/>
      <c r="AJ12" s="37"/>
      <c r="AL12" s="108"/>
      <c r="AM12" s="108"/>
      <c r="AN12" s="5"/>
      <c r="AO12" s="5"/>
      <c r="AP12" s="5"/>
      <c r="AQ12" s="5"/>
      <c r="AR12" s="5"/>
      <c r="AS12" s="27"/>
    </row>
    <row r="13" spans="1:45" x14ac:dyDescent="0.2">
      <c r="A13" s="2">
        <v>40848</v>
      </c>
      <c r="B13">
        <f t="shared" si="4"/>
        <v>2011</v>
      </c>
      <c r="C13">
        <f t="shared" si="5"/>
        <v>11</v>
      </c>
      <c r="D13" s="88">
        <v>6503187.4399999985</v>
      </c>
      <c r="E13" s="88">
        <v>9467.620679902544</v>
      </c>
      <c r="F13" s="88">
        <v>6512655.0606799014</v>
      </c>
      <c r="G13" s="78">
        <v>221.90000000000003</v>
      </c>
      <c r="H13" s="78">
        <v>0</v>
      </c>
      <c r="I13" s="78">
        <f t="shared" si="0"/>
        <v>305.31105263157906</v>
      </c>
      <c r="J13" s="78">
        <f t="shared" si="0"/>
        <v>1.3363157894737014</v>
      </c>
      <c r="K13" s="30">
        <v>1</v>
      </c>
      <c r="L13" s="30">
        <v>2368</v>
      </c>
      <c r="M13" s="30">
        <v>11</v>
      </c>
      <c r="N13" s="81">
        <v>0</v>
      </c>
      <c r="O13" s="30">
        <f t="shared" si="6"/>
        <v>6806222.2345006624</v>
      </c>
      <c r="P13" s="30">
        <f t="shared" si="1"/>
        <v>6796754.6138207596</v>
      </c>
      <c r="Q13" s="31">
        <f t="shared" si="2"/>
        <v>293567.17382076103</v>
      </c>
      <c r="R13" s="48">
        <f t="shared" si="3"/>
        <v>4.5076419844983083E-2</v>
      </c>
      <c r="S13" s="86"/>
      <c r="T13" s="86"/>
      <c r="U13" s="86"/>
      <c r="V13" s="86"/>
      <c r="W13" s="86"/>
      <c r="X13" s="86"/>
      <c r="AE13"/>
      <c r="AG13" s="70"/>
      <c r="AH13" s="65"/>
      <c r="AI13" s="37"/>
      <c r="AJ13" s="37"/>
      <c r="AL13" s="108"/>
      <c r="AM13" s="108"/>
      <c r="AN13" s="5"/>
      <c r="AO13" s="5"/>
      <c r="AP13" s="5"/>
      <c r="AQ13" s="5"/>
      <c r="AR13" s="5"/>
      <c r="AS13" s="27"/>
    </row>
    <row r="14" spans="1:45" ht="13.5" customHeight="1" x14ac:dyDescent="0.2">
      <c r="A14" s="2">
        <v>40878</v>
      </c>
      <c r="B14">
        <f t="shared" si="4"/>
        <v>2011</v>
      </c>
      <c r="C14">
        <f t="shared" si="5"/>
        <v>12</v>
      </c>
      <c r="D14" s="88">
        <v>8506879.0700000003</v>
      </c>
      <c r="E14" s="88">
        <v>9467.620679902544</v>
      </c>
      <c r="F14" s="88">
        <v>8516346.6906799022</v>
      </c>
      <c r="G14" s="78">
        <v>410</v>
      </c>
      <c r="H14" s="78">
        <v>0</v>
      </c>
      <c r="I14" s="78">
        <f t="shared" si="0"/>
        <v>437.78421052631529</v>
      </c>
      <c r="J14" s="78">
        <f t="shared" si="0"/>
        <v>0</v>
      </c>
      <c r="K14" s="30">
        <v>0</v>
      </c>
      <c r="L14" s="30">
        <v>2374</v>
      </c>
      <c r="M14" s="30">
        <v>12</v>
      </c>
      <c r="N14" s="81">
        <v>0</v>
      </c>
      <c r="O14" s="30">
        <f t="shared" si="6"/>
        <v>8611923.9707038626</v>
      </c>
      <c r="P14" s="30">
        <f t="shared" si="1"/>
        <v>8602456.3500239607</v>
      </c>
      <c r="Q14" s="31">
        <f t="shared" si="2"/>
        <v>95577.280023960397</v>
      </c>
      <c r="R14" s="48">
        <f t="shared" si="3"/>
        <v>1.1222802863175828E-2</v>
      </c>
      <c r="S14" t="s">
        <v>86</v>
      </c>
      <c r="AE14"/>
      <c r="AG14" s="70"/>
      <c r="AH14" s="65"/>
      <c r="AI14" s="37"/>
      <c r="AJ14" s="37"/>
      <c r="AL14" s="108"/>
      <c r="AM14" s="108"/>
      <c r="AN14" s="5"/>
      <c r="AO14" s="5"/>
      <c r="AP14" s="5"/>
      <c r="AQ14" s="5"/>
      <c r="AR14" s="5"/>
      <c r="AS14" s="27"/>
    </row>
    <row r="15" spans="1:45" x14ac:dyDescent="0.2">
      <c r="A15" s="2">
        <v>40909</v>
      </c>
      <c r="B15">
        <f t="shared" si="4"/>
        <v>2012</v>
      </c>
      <c r="C15">
        <f t="shared" si="5"/>
        <v>1</v>
      </c>
      <c r="D15" s="88">
        <v>6542070.0699999975</v>
      </c>
      <c r="E15" s="88">
        <v>32139.174490377161</v>
      </c>
      <c r="F15" s="88">
        <v>6574209.2444903748</v>
      </c>
      <c r="G15" s="78">
        <v>487.1</v>
      </c>
      <c r="H15" s="78">
        <v>0</v>
      </c>
      <c r="I15" s="78">
        <f t="shared" si="0"/>
        <v>557.82052631578927</v>
      </c>
      <c r="J15" s="78">
        <f t="shared" si="0"/>
        <v>0</v>
      </c>
      <c r="K15" s="30">
        <v>0</v>
      </c>
      <c r="L15" s="30">
        <v>2381</v>
      </c>
      <c r="M15" s="30">
        <v>13</v>
      </c>
      <c r="N15" s="81">
        <v>0</v>
      </c>
      <c r="O15" s="30">
        <f t="shared" si="6"/>
        <v>6817486.8262206204</v>
      </c>
      <c r="P15" s="30">
        <f t="shared" si="1"/>
        <v>6785347.6517302431</v>
      </c>
      <c r="Q15" s="31">
        <f t="shared" si="2"/>
        <v>243277.58173024561</v>
      </c>
      <c r="R15" s="48">
        <f t="shared" si="3"/>
        <v>3.7004843119973464E-2</v>
      </c>
      <c r="S15" t="s">
        <v>87</v>
      </c>
      <c r="AE15"/>
      <c r="AG15" s="70"/>
      <c r="AH15" s="65"/>
      <c r="AI15" s="37"/>
      <c r="AJ15" s="37"/>
      <c r="AL15" s="108"/>
      <c r="AM15" s="108"/>
      <c r="AN15" s="5"/>
      <c r="AO15" s="5"/>
      <c r="AP15" s="5"/>
      <c r="AQ15" s="5"/>
      <c r="AR15" s="5"/>
      <c r="AS15" s="27"/>
    </row>
    <row r="16" spans="1:45" x14ac:dyDescent="0.2">
      <c r="A16" s="2">
        <v>40940</v>
      </c>
      <c r="B16">
        <f t="shared" si="4"/>
        <v>2012</v>
      </c>
      <c r="C16">
        <f t="shared" si="5"/>
        <v>2</v>
      </c>
      <c r="D16" s="88">
        <v>7307980.3799999999</v>
      </c>
      <c r="E16" s="88">
        <v>32139.174490377161</v>
      </c>
      <c r="F16" s="88">
        <v>7340119.5544903772</v>
      </c>
      <c r="G16" s="78">
        <v>415.70000000000005</v>
      </c>
      <c r="H16" s="78">
        <v>0</v>
      </c>
      <c r="I16" s="78">
        <f t="shared" si="0"/>
        <v>513.95684210526292</v>
      </c>
      <c r="J16" s="78">
        <f t="shared" si="0"/>
        <v>0</v>
      </c>
      <c r="K16" s="30">
        <v>0</v>
      </c>
      <c r="L16" s="30">
        <v>2385</v>
      </c>
      <c r="M16" s="30">
        <v>14</v>
      </c>
      <c r="N16" s="81">
        <v>0</v>
      </c>
      <c r="O16" s="30">
        <f t="shared" si="6"/>
        <v>7678121.6619560579</v>
      </c>
      <c r="P16" s="30">
        <f t="shared" si="1"/>
        <v>7645982.4874656806</v>
      </c>
      <c r="Q16" s="31">
        <f t="shared" si="2"/>
        <v>338002.10746568069</v>
      </c>
      <c r="R16" s="48">
        <f t="shared" si="3"/>
        <v>4.6048583399286074E-2</v>
      </c>
      <c r="S16" t="s">
        <v>88</v>
      </c>
      <c r="AE16"/>
      <c r="AG16" s="70"/>
      <c r="AH16" s="65"/>
      <c r="AI16" s="37"/>
      <c r="AJ16" s="37"/>
      <c r="AL16" s="108"/>
      <c r="AM16" s="108"/>
      <c r="AN16" s="5"/>
      <c r="AO16" s="5"/>
      <c r="AP16" s="5"/>
      <c r="AQ16" s="5"/>
      <c r="AR16" s="33"/>
      <c r="AS16" s="27"/>
    </row>
    <row r="17" spans="1:46" x14ac:dyDescent="0.2">
      <c r="A17" s="2">
        <v>40969</v>
      </c>
      <c r="B17">
        <f t="shared" si="4"/>
        <v>2012</v>
      </c>
      <c r="C17">
        <f t="shared" si="5"/>
        <v>3</v>
      </c>
      <c r="D17" s="88">
        <v>6926363.8199999947</v>
      </c>
      <c r="E17" s="88">
        <v>32139.174490377161</v>
      </c>
      <c r="F17" s="88">
        <v>6958502.994490372</v>
      </c>
      <c r="G17" s="78">
        <v>236.3</v>
      </c>
      <c r="H17" s="78">
        <v>11.1</v>
      </c>
      <c r="I17" s="78">
        <f t="shared" si="0"/>
        <v>400.06210526315817</v>
      </c>
      <c r="J17" s="78">
        <f t="shared" si="0"/>
        <v>0.74263157894736409</v>
      </c>
      <c r="K17" s="30">
        <v>0</v>
      </c>
      <c r="L17" s="30">
        <v>2391</v>
      </c>
      <c r="M17" s="30">
        <v>15</v>
      </c>
      <c r="N17" s="81">
        <v>0</v>
      </c>
      <c r="O17" s="30">
        <f t="shared" si="6"/>
        <v>7470421.3436923893</v>
      </c>
      <c r="P17" s="30">
        <f t="shared" si="1"/>
        <v>7438282.169202012</v>
      </c>
      <c r="Q17" s="31">
        <f t="shared" si="2"/>
        <v>511918.3492020173</v>
      </c>
      <c r="R17" s="48">
        <f t="shared" si="3"/>
        <v>7.3567310326279348E-2</v>
      </c>
      <c r="AE17"/>
      <c r="AG17" s="70"/>
      <c r="AH17" s="65"/>
      <c r="AI17" s="37"/>
      <c r="AJ17" s="37"/>
      <c r="AL17" s="108"/>
      <c r="AM17" s="108"/>
      <c r="AN17" s="5"/>
      <c r="AO17" s="5"/>
      <c r="AP17" s="5"/>
      <c r="AQ17" s="5"/>
      <c r="AR17" s="5"/>
      <c r="AS17" s="27"/>
    </row>
    <row r="18" spans="1:46" x14ac:dyDescent="0.2">
      <c r="A18" s="2">
        <v>41000</v>
      </c>
      <c r="B18">
        <f t="shared" si="4"/>
        <v>2012</v>
      </c>
      <c r="C18">
        <f t="shared" si="5"/>
        <v>4</v>
      </c>
      <c r="D18" s="88">
        <v>6496796.9000000078</v>
      </c>
      <c r="E18" s="88">
        <v>32139.174490377161</v>
      </c>
      <c r="F18" s="88">
        <v>6528936.0744903851</v>
      </c>
      <c r="G18" s="78">
        <v>206.9</v>
      </c>
      <c r="H18" s="78">
        <v>5.1999999999999975</v>
      </c>
      <c r="I18" s="78">
        <f t="shared" si="0"/>
        <v>225.72052631578936</v>
      </c>
      <c r="J18" s="78">
        <f t="shared" si="0"/>
        <v>0</v>
      </c>
      <c r="K18" s="30">
        <v>0</v>
      </c>
      <c r="L18" s="30">
        <v>2398</v>
      </c>
      <c r="M18" s="30">
        <v>16</v>
      </c>
      <c r="N18" s="81">
        <v>0</v>
      </c>
      <c r="O18" s="30">
        <f t="shared" si="6"/>
        <v>6567862.1300796289</v>
      </c>
      <c r="P18" s="30">
        <f t="shared" si="1"/>
        <v>6535722.9555892516</v>
      </c>
      <c r="Q18" s="31">
        <f t="shared" si="2"/>
        <v>38926.05558924377</v>
      </c>
      <c r="R18" s="48">
        <f t="shared" si="3"/>
        <v>5.9620825116260823E-3</v>
      </c>
      <c r="S18" s="86"/>
      <c r="T18" s="86" t="s">
        <v>19</v>
      </c>
      <c r="U18" s="86" t="s">
        <v>20</v>
      </c>
      <c r="V18" t="s">
        <v>21</v>
      </c>
      <c r="W18" t="s">
        <v>22</v>
      </c>
      <c r="X18" s="86"/>
      <c r="Y18" s="86"/>
      <c r="Z18" s="86"/>
      <c r="AA18" s="86"/>
      <c r="AE18"/>
      <c r="AF18" s="49"/>
      <c r="AG18" s="65"/>
      <c r="AH18" s="66"/>
      <c r="AI18" s="37"/>
      <c r="AL18" s="57"/>
      <c r="AM18" s="67"/>
      <c r="AN18" s="67"/>
      <c r="AO18" s="67"/>
      <c r="AP18" s="5"/>
      <c r="AQ18" s="5"/>
      <c r="AS18" s="27"/>
    </row>
    <row r="19" spans="1:46" x14ac:dyDescent="0.2">
      <c r="A19" s="2">
        <v>41030</v>
      </c>
      <c r="B19">
        <f t="shared" si="4"/>
        <v>2012</v>
      </c>
      <c r="C19">
        <f t="shared" si="5"/>
        <v>5</v>
      </c>
      <c r="D19" s="88">
        <v>6393894.2299999967</v>
      </c>
      <c r="E19" s="88">
        <v>32139.174490377161</v>
      </c>
      <c r="F19" s="88">
        <v>6426033.404490374</v>
      </c>
      <c r="G19" s="78">
        <v>21.499999999999996</v>
      </c>
      <c r="H19" s="78">
        <v>101.5</v>
      </c>
      <c r="I19" s="78">
        <f t="shared" ref="I19:J34" si="7">I31</f>
        <v>59.688947368421054</v>
      </c>
      <c r="J19" s="78">
        <f t="shared" si="7"/>
        <v>80.273684210525971</v>
      </c>
      <c r="K19" s="30">
        <v>0</v>
      </c>
      <c r="L19" s="30">
        <v>2400</v>
      </c>
      <c r="M19" s="30">
        <v>17</v>
      </c>
      <c r="N19" s="81">
        <v>0</v>
      </c>
      <c r="O19" s="30">
        <f t="shared" si="6"/>
        <v>6452021.1863197731</v>
      </c>
      <c r="P19" s="30">
        <f t="shared" si="1"/>
        <v>6419882.0118293958</v>
      </c>
      <c r="Q19" s="31">
        <f t="shared" si="2"/>
        <v>25987.781829399057</v>
      </c>
      <c r="R19" s="48">
        <f t="shared" si="3"/>
        <v>4.0441404819401275E-3</v>
      </c>
      <c r="S19" t="s">
        <v>23</v>
      </c>
      <c r="T19">
        <v>-5916373.9028787296</v>
      </c>
      <c r="U19">
        <v>2782065.71442588</v>
      </c>
      <c r="V19">
        <v>-2.1266118453638501</v>
      </c>
      <c r="W19" s="79">
        <v>3.54180658453924E-2</v>
      </c>
      <c r="AE19"/>
      <c r="AF19" s="70"/>
      <c r="AG19" s="65"/>
      <c r="AH19" s="49"/>
      <c r="AI19" s="73"/>
      <c r="AJ19" s="73"/>
      <c r="AK19" s="1"/>
      <c r="AN19" s="5"/>
      <c r="AO19" s="5"/>
      <c r="AP19" s="5"/>
      <c r="AQ19" s="5"/>
    </row>
    <row r="20" spans="1:46" ht="16.5" customHeight="1" x14ac:dyDescent="0.2">
      <c r="A20" s="2">
        <v>41061</v>
      </c>
      <c r="B20">
        <f t="shared" si="4"/>
        <v>2012</v>
      </c>
      <c r="C20">
        <f t="shared" si="5"/>
        <v>6</v>
      </c>
      <c r="D20" s="88">
        <v>6938947.9299999932</v>
      </c>
      <c r="E20" s="88">
        <v>32139.174490377161</v>
      </c>
      <c r="F20" s="88">
        <v>6971087.1044903705</v>
      </c>
      <c r="G20" s="78">
        <v>1.0999999999999996</v>
      </c>
      <c r="H20" s="78">
        <v>199.5</v>
      </c>
      <c r="I20" s="78">
        <f t="shared" si="7"/>
        <v>1.08894736842106</v>
      </c>
      <c r="J20" s="78">
        <f t="shared" si="7"/>
        <v>177.38052631578967</v>
      </c>
      <c r="K20" s="30">
        <v>0</v>
      </c>
      <c r="L20" s="30">
        <v>2403</v>
      </c>
      <c r="M20" s="30">
        <v>18</v>
      </c>
      <c r="N20" s="81">
        <v>0</v>
      </c>
      <c r="O20" s="30">
        <f t="shared" si="6"/>
        <v>6861233.2083129873</v>
      </c>
      <c r="P20" s="30">
        <f t="shared" si="1"/>
        <v>6829094.03382261</v>
      </c>
      <c r="Q20" s="31">
        <f t="shared" si="2"/>
        <v>-109853.89617738314</v>
      </c>
      <c r="R20" s="48">
        <f t="shared" si="3"/>
        <v>1.5758502874913385E-2</v>
      </c>
      <c r="S20" t="s">
        <v>15</v>
      </c>
      <c r="T20">
        <v>3439.9854526525301</v>
      </c>
      <c r="U20">
        <v>284.78100360020699</v>
      </c>
      <c r="V20">
        <v>12.0794063127953</v>
      </c>
      <c r="W20" s="79">
        <v>9.7545551048802706E-23</v>
      </c>
      <c r="AE20"/>
      <c r="AF20" s="70"/>
      <c r="AG20" s="111"/>
      <c r="AH20" s="111"/>
      <c r="AI20" s="37"/>
      <c r="AK20" s="1"/>
      <c r="AN20" s="5"/>
      <c r="AO20" s="5"/>
      <c r="AP20" s="5"/>
      <c r="AQ20" s="5"/>
    </row>
    <row r="21" spans="1:46" x14ac:dyDescent="0.2">
      <c r="A21" s="2">
        <v>41091</v>
      </c>
      <c r="B21">
        <f t="shared" si="4"/>
        <v>2012</v>
      </c>
      <c r="C21">
        <f t="shared" si="5"/>
        <v>7</v>
      </c>
      <c r="D21" s="88">
        <v>7684381.6799999978</v>
      </c>
      <c r="E21" s="88">
        <v>32139.174490377161</v>
      </c>
      <c r="F21" s="88">
        <v>7716520.8544903751</v>
      </c>
      <c r="G21" s="78">
        <v>0</v>
      </c>
      <c r="H21" s="78">
        <v>319.39999999999998</v>
      </c>
      <c r="I21" s="78">
        <f t="shared" si="7"/>
        <v>0</v>
      </c>
      <c r="J21" s="78">
        <f t="shared" si="7"/>
        <v>273.7568421052631</v>
      </c>
      <c r="K21" s="30">
        <v>0</v>
      </c>
      <c r="L21" s="30">
        <v>2401</v>
      </c>
      <c r="M21" s="30">
        <v>19</v>
      </c>
      <c r="N21" s="81">
        <v>0</v>
      </c>
      <c r="O21" s="30">
        <f t="shared" si="6"/>
        <v>7489917.6628156779</v>
      </c>
      <c r="P21" s="30">
        <f t="shared" si="1"/>
        <v>7457778.4883253006</v>
      </c>
      <c r="Q21" s="31">
        <f t="shared" si="2"/>
        <v>-226603.19167469721</v>
      </c>
      <c r="R21" s="48">
        <f t="shared" si="3"/>
        <v>2.9365979299185455E-2</v>
      </c>
      <c r="S21" t="s">
        <v>16</v>
      </c>
      <c r="T21">
        <v>4964.6694516031102</v>
      </c>
      <c r="U21">
        <v>609.08805613857805</v>
      </c>
      <c r="V21">
        <v>8.1509880247488606</v>
      </c>
      <c r="W21" s="79">
        <v>3.2080165827579198E-13</v>
      </c>
      <c r="AE21"/>
      <c r="AF21" s="49"/>
      <c r="AG21" s="65"/>
      <c r="AH21" s="49"/>
      <c r="AI21" s="37"/>
      <c r="AK21" s="1"/>
      <c r="AN21" s="5"/>
      <c r="AO21" s="5"/>
      <c r="AP21" s="5"/>
      <c r="AQ21" s="5"/>
    </row>
    <row r="22" spans="1:46" x14ac:dyDescent="0.2">
      <c r="A22" s="2">
        <v>41122</v>
      </c>
      <c r="B22">
        <f t="shared" si="4"/>
        <v>2012</v>
      </c>
      <c r="C22">
        <f t="shared" si="5"/>
        <v>8</v>
      </c>
      <c r="D22" s="88">
        <v>7811739.2400000021</v>
      </c>
      <c r="E22" s="88">
        <v>32139.174490377161</v>
      </c>
      <c r="F22" s="88">
        <v>7843878.4144903794</v>
      </c>
      <c r="G22" s="78">
        <v>0</v>
      </c>
      <c r="H22" s="78">
        <v>234.09999999999997</v>
      </c>
      <c r="I22" s="78">
        <f t="shared" si="7"/>
        <v>0</v>
      </c>
      <c r="J22" s="78">
        <f t="shared" si="7"/>
        <v>253.05789473684217</v>
      </c>
      <c r="K22" s="30">
        <v>0</v>
      </c>
      <c r="L22" s="30">
        <v>2402</v>
      </c>
      <c r="M22" s="30">
        <v>20</v>
      </c>
      <c r="N22" s="81">
        <v>0</v>
      </c>
      <c r="O22" s="30">
        <f t="shared" si="6"/>
        <v>7937998.0953570874</v>
      </c>
      <c r="P22" s="30">
        <f t="shared" si="1"/>
        <v>7905858.9208667101</v>
      </c>
      <c r="Q22" s="31">
        <f t="shared" si="2"/>
        <v>94119.680866708048</v>
      </c>
      <c r="R22" s="48">
        <f t="shared" si="3"/>
        <v>1.1999125418981019E-2</v>
      </c>
      <c r="S22" t="s">
        <v>10</v>
      </c>
      <c r="T22">
        <v>-287027.88525663299</v>
      </c>
      <c r="U22">
        <v>97597.718799890194</v>
      </c>
      <c r="V22">
        <v>-2.9409282182623699</v>
      </c>
      <c r="W22">
        <v>3.9000816786556101E-3</v>
      </c>
      <c r="AE22"/>
      <c r="AF22" s="49"/>
      <c r="AG22" s="65"/>
      <c r="AH22" s="49"/>
      <c r="AI22" s="37"/>
      <c r="AK22" s="68"/>
      <c r="AL22" s="68"/>
      <c r="AM22" s="68"/>
      <c r="AN22" s="68"/>
      <c r="AO22" s="68"/>
      <c r="AP22" s="68"/>
      <c r="AQ22" s="5"/>
    </row>
    <row r="23" spans="1:46" x14ac:dyDescent="0.2">
      <c r="A23" s="2">
        <v>41153</v>
      </c>
      <c r="B23">
        <f t="shared" si="4"/>
        <v>2012</v>
      </c>
      <c r="C23">
        <f t="shared" si="5"/>
        <v>9</v>
      </c>
      <c r="D23" s="88">
        <v>6409326.7700000005</v>
      </c>
      <c r="E23" s="88">
        <v>32139.174490377161</v>
      </c>
      <c r="F23" s="88">
        <v>6441465.9444903778</v>
      </c>
      <c r="G23" s="78">
        <v>21.500000000000004</v>
      </c>
      <c r="H23" s="78">
        <v>92.09999999999998</v>
      </c>
      <c r="I23" s="78">
        <f t="shared" si="7"/>
        <v>9.9542105263157907</v>
      </c>
      <c r="J23" s="78">
        <f t="shared" si="7"/>
        <v>120.49421052631581</v>
      </c>
      <c r="K23" s="30">
        <v>1</v>
      </c>
      <c r="L23" s="30">
        <v>2404</v>
      </c>
      <c r="M23" s="30">
        <v>21</v>
      </c>
      <c r="N23" s="81">
        <v>0</v>
      </c>
      <c r="O23" s="30">
        <f t="shared" si="6"/>
        <v>6542716.4662639033</v>
      </c>
      <c r="P23" s="30">
        <f t="shared" si="1"/>
        <v>6510577.291773526</v>
      </c>
      <c r="Q23" s="31">
        <f t="shared" si="2"/>
        <v>101250.52177352551</v>
      </c>
      <c r="R23" s="48">
        <f t="shared" si="3"/>
        <v>1.5718552678234493E-2</v>
      </c>
      <c r="S23" t="s">
        <v>6</v>
      </c>
      <c r="T23">
        <v>5095.3693580959898</v>
      </c>
      <c r="U23">
        <v>1194.4667212147699</v>
      </c>
      <c r="V23">
        <v>4.2658110666440399</v>
      </c>
      <c r="W23" s="79">
        <v>3.89573467034949E-5</v>
      </c>
      <c r="AE23"/>
      <c r="AF23" s="49"/>
      <c r="AG23" s="65"/>
      <c r="AH23" s="49"/>
      <c r="AI23" s="37"/>
      <c r="AK23" s="68"/>
      <c r="AL23" s="68"/>
      <c r="AM23" s="68"/>
      <c r="AN23" s="68"/>
      <c r="AO23" s="68"/>
      <c r="AP23" s="68"/>
      <c r="AQ23" s="5"/>
    </row>
    <row r="24" spans="1:46" x14ac:dyDescent="0.2">
      <c r="A24" s="2">
        <v>41183</v>
      </c>
      <c r="B24">
        <f t="shared" si="4"/>
        <v>2012</v>
      </c>
      <c r="C24">
        <f t="shared" si="5"/>
        <v>10</v>
      </c>
      <c r="D24" s="88">
        <v>6318161.7399999937</v>
      </c>
      <c r="E24" s="88">
        <v>32139.174490377161</v>
      </c>
      <c r="F24" s="88">
        <v>6350300.914490371</v>
      </c>
      <c r="G24" s="78">
        <v>130.50000000000003</v>
      </c>
      <c r="H24" s="78">
        <v>13.1</v>
      </c>
      <c r="I24" s="78">
        <f t="shared" si="7"/>
        <v>107.70315789473716</v>
      </c>
      <c r="J24" s="78">
        <f t="shared" si="7"/>
        <v>25.808421052631616</v>
      </c>
      <c r="K24" s="30">
        <v>1</v>
      </c>
      <c r="L24" s="30">
        <v>2413</v>
      </c>
      <c r="M24" s="30">
        <v>22</v>
      </c>
      <c r="N24" s="81">
        <v>0</v>
      </c>
      <c r="O24" s="30">
        <f t="shared" si="6"/>
        <v>6334973.21905996</v>
      </c>
      <c r="P24" s="30">
        <f t="shared" si="1"/>
        <v>6302834.0445695827</v>
      </c>
      <c r="Q24" s="31">
        <f t="shared" si="2"/>
        <v>-15327.695430411026</v>
      </c>
      <c r="R24" s="48">
        <f t="shared" si="3"/>
        <v>2.4136959235168962E-3</v>
      </c>
      <c r="S24" t="s">
        <v>9</v>
      </c>
      <c r="T24">
        <v>-12670.260980515101</v>
      </c>
      <c r="U24">
        <v>4811.7199068321797</v>
      </c>
      <c r="V24">
        <v>-2.63320833835829</v>
      </c>
      <c r="W24" s="79">
        <v>9.5258154177304492E-3</v>
      </c>
      <c r="AE24"/>
      <c r="AF24" s="49"/>
      <c r="AG24" s="65"/>
      <c r="AH24" s="49"/>
      <c r="AI24" s="37"/>
      <c r="AK24" s="103"/>
      <c r="AL24" s="103"/>
      <c r="AM24" s="103"/>
      <c r="AN24" s="63"/>
      <c r="AO24" s="63"/>
      <c r="AP24" s="63"/>
      <c r="AQ24" s="5"/>
    </row>
    <row r="25" spans="1:46" x14ac:dyDescent="0.2">
      <c r="A25" s="2">
        <v>41214</v>
      </c>
      <c r="B25">
        <f t="shared" si="4"/>
        <v>2012</v>
      </c>
      <c r="C25">
        <f t="shared" si="5"/>
        <v>11</v>
      </c>
      <c r="D25" s="88">
        <v>6992291.2000000067</v>
      </c>
      <c r="E25" s="88">
        <v>32139.174490377161</v>
      </c>
      <c r="F25" s="88">
        <v>7024430.374490384</v>
      </c>
      <c r="G25" s="78">
        <v>313.99999999999994</v>
      </c>
      <c r="H25" s="78">
        <v>0</v>
      </c>
      <c r="I25" s="78">
        <f t="shared" si="7"/>
        <v>305.31105263157906</v>
      </c>
      <c r="J25" s="78">
        <f t="shared" si="7"/>
        <v>1.3363157894737014</v>
      </c>
      <c r="K25" s="30">
        <v>1</v>
      </c>
      <c r="L25" s="30">
        <v>2417</v>
      </c>
      <c r="M25" s="30">
        <v>23</v>
      </c>
      <c r="N25" s="81">
        <v>0</v>
      </c>
      <c r="O25" s="30">
        <f t="shared" si="6"/>
        <v>7001174.888121848</v>
      </c>
      <c r="P25" s="30">
        <f t="shared" si="1"/>
        <v>6969035.7136314707</v>
      </c>
      <c r="Q25" s="31">
        <f t="shared" si="2"/>
        <v>-23255.486368536018</v>
      </c>
      <c r="R25" s="48">
        <f t="shared" si="3"/>
        <v>3.310657964948963E-3</v>
      </c>
      <c r="S25" t="s">
        <v>12</v>
      </c>
      <c r="T25">
        <v>-677886.28139511496</v>
      </c>
      <c r="U25">
        <v>213280.44147183499</v>
      </c>
      <c r="V25">
        <v>-3.1783799616929902</v>
      </c>
      <c r="W25">
        <v>1.86680283319016E-3</v>
      </c>
      <c r="AE25" s="2"/>
      <c r="AF25" s="49"/>
      <c r="AG25" s="65"/>
      <c r="AH25" s="69"/>
      <c r="AI25" s="2"/>
      <c r="AJ25" s="37"/>
      <c r="AM25" s="2"/>
      <c r="AN25" s="70"/>
      <c r="AO25" s="70"/>
      <c r="AP25" s="70"/>
      <c r="AQ25" s="2"/>
      <c r="AR25" s="70"/>
      <c r="AS25" s="70"/>
      <c r="AT25" s="5"/>
    </row>
    <row r="26" spans="1:46" x14ac:dyDescent="0.2">
      <c r="A26" s="2">
        <v>41244</v>
      </c>
      <c r="B26">
        <f t="shared" si="4"/>
        <v>2012</v>
      </c>
      <c r="C26">
        <f t="shared" si="5"/>
        <v>12</v>
      </c>
      <c r="D26" s="88">
        <v>8346319.1100000069</v>
      </c>
      <c r="E26" s="88">
        <v>32139.174490377161</v>
      </c>
      <c r="F26" s="88">
        <v>8378458.2844903842</v>
      </c>
      <c r="G26" s="78">
        <v>409.50000000000006</v>
      </c>
      <c r="H26" s="78">
        <v>0</v>
      </c>
      <c r="I26" s="78">
        <f t="shared" si="7"/>
        <v>437.78421052631529</v>
      </c>
      <c r="J26" s="78">
        <f t="shared" si="7"/>
        <v>0</v>
      </c>
      <c r="K26" s="30">
        <v>0</v>
      </c>
      <c r="L26" s="30">
        <v>2425</v>
      </c>
      <c r="M26" s="30">
        <v>24</v>
      </c>
      <c r="N26" s="81">
        <v>0</v>
      </c>
      <c r="O26" s="30">
        <f t="shared" si="6"/>
        <v>8475755.5572406705</v>
      </c>
      <c r="P26" s="30">
        <f t="shared" si="1"/>
        <v>8443616.3827502932</v>
      </c>
      <c r="Q26" s="30">
        <f t="shared" si="2"/>
        <v>97297.272750286385</v>
      </c>
      <c r="R26" s="48">
        <f t="shared" si="3"/>
        <v>1.1612789542724858E-2</v>
      </c>
      <c r="AE26" s="2"/>
      <c r="AF26" s="49"/>
      <c r="AG26" s="65"/>
      <c r="AH26" s="69"/>
      <c r="AI26" s="2"/>
      <c r="AJ26" s="37"/>
      <c r="AM26" s="2"/>
      <c r="AN26" s="70"/>
      <c r="AO26" s="70"/>
      <c r="AP26" s="70"/>
      <c r="AQ26" s="2"/>
      <c r="AR26" s="70"/>
      <c r="AS26" s="70"/>
      <c r="AT26" s="5"/>
    </row>
    <row r="27" spans="1:46" x14ac:dyDescent="0.2">
      <c r="A27" s="2">
        <v>41275</v>
      </c>
      <c r="B27">
        <f t="shared" si="4"/>
        <v>2013</v>
      </c>
      <c r="C27">
        <f t="shared" si="5"/>
        <v>1</v>
      </c>
      <c r="D27" s="88">
        <v>6992984.0799999973</v>
      </c>
      <c r="E27" s="88">
        <v>64448.148935414909</v>
      </c>
      <c r="F27" s="88">
        <v>7057432.2289354121</v>
      </c>
      <c r="G27" s="78">
        <v>500.50000000000006</v>
      </c>
      <c r="H27" s="78">
        <v>0</v>
      </c>
      <c r="I27" s="78">
        <f t="shared" si="7"/>
        <v>557.82052631578927</v>
      </c>
      <c r="J27" s="78">
        <f t="shared" si="7"/>
        <v>0</v>
      </c>
      <c r="K27" s="30">
        <v>0</v>
      </c>
      <c r="L27" s="30">
        <v>2432</v>
      </c>
      <c r="M27" s="30">
        <v>25</v>
      </c>
      <c r="N27" s="81">
        <v>0</v>
      </c>
      <c r="O27" s="30">
        <f t="shared" si="6"/>
        <v>7254614.0056001134</v>
      </c>
      <c r="P27" s="30">
        <f t="shared" si="1"/>
        <v>7190165.8566646986</v>
      </c>
      <c r="Q27" s="30">
        <f t="shared" si="2"/>
        <v>197181.77666470129</v>
      </c>
      <c r="R27" s="48">
        <f t="shared" si="3"/>
        <v>2.7939591946240402E-2</v>
      </c>
      <c r="S27" t="s">
        <v>24</v>
      </c>
      <c r="AE27" s="2"/>
      <c r="AF27" s="49"/>
      <c r="AG27" s="112"/>
      <c r="AH27" s="69"/>
      <c r="AI27" s="2"/>
      <c r="AJ27" s="37"/>
      <c r="AM27" s="2"/>
      <c r="AN27" s="70"/>
      <c r="AO27" s="5"/>
      <c r="AP27" s="5"/>
      <c r="AQ27" s="2"/>
      <c r="AR27" s="70"/>
      <c r="AS27" s="5"/>
      <c r="AT27" s="5"/>
    </row>
    <row r="28" spans="1:46" x14ac:dyDescent="0.2">
      <c r="A28" s="2">
        <v>41306</v>
      </c>
      <c r="B28">
        <f t="shared" si="4"/>
        <v>2013</v>
      </c>
      <c r="C28">
        <f t="shared" si="5"/>
        <v>2</v>
      </c>
      <c r="D28" s="88">
        <v>7528794.9500000002</v>
      </c>
      <c r="E28" s="88">
        <v>64448.148935414909</v>
      </c>
      <c r="F28" s="88">
        <v>7593243.098935415</v>
      </c>
      <c r="G28" s="78">
        <v>519.49999999999989</v>
      </c>
      <c r="H28" s="78">
        <v>0</v>
      </c>
      <c r="I28" s="78">
        <f t="shared" si="7"/>
        <v>513.95684210526292</v>
      </c>
      <c r="J28" s="78">
        <f t="shared" si="7"/>
        <v>0</v>
      </c>
      <c r="K28" s="30">
        <v>0</v>
      </c>
      <c r="L28" s="30">
        <v>2441</v>
      </c>
      <c r="M28" s="30">
        <v>26</v>
      </c>
      <c r="N28" s="81">
        <v>0</v>
      </c>
      <c r="O28" s="30">
        <f t="shared" si="6"/>
        <v>7574174.7164157638</v>
      </c>
      <c r="P28" s="30">
        <f t="shared" si="1"/>
        <v>7509726.567480349</v>
      </c>
      <c r="Q28" s="30">
        <f t="shared" si="2"/>
        <v>-19068.382519651204</v>
      </c>
      <c r="R28" s="48">
        <f t="shared" si="3"/>
        <v>2.5112303492989211E-3</v>
      </c>
      <c r="S28" t="s">
        <v>25</v>
      </c>
      <c r="T28">
        <v>7439770.1888907803</v>
      </c>
      <c r="U28" t="s">
        <v>26</v>
      </c>
      <c r="V28">
        <v>772806.71759679995</v>
      </c>
      <c r="AE28" s="2"/>
      <c r="AF28" s="49"/>
      <c r="AG28" s="65"/>
      <c r="AH28" s="69"/>
      <c r="AI28" s="2"/>
      <c r="AJ28" s="37"/>
      <c r="AM28" s="2"/>
      <c r="AN28" s="70"/>
      <c r="AO28" s="5"/>
      <c r="AP28" s="5"/>
      <c r="AQ28" s="2"/>
      <c r="AR28" s="70"/>
      <c r="AS28" s="5"/>
      <c r="AT28" s="5"/>
    </row>
    <row r="29" spans="1:46" x14ac:dyDescent="0.2">
      <c r="A29" s="2">
        <v>41334</v>
      </c>
      <c r="B29">
        <f t="shared" si="4"/>
        <v>2013</v>
      </c>
      <c r="C29">
        <f t="shared" si="5"/>
        <v>3</v>
      </c>
      <c r="D29" s="88">
        <v>7671019.2299999977</v>
      </c>
      <c r="E29" s="88">
        <v>64448.148935414909</v>
      </c>
      <c r="F29" s="88">
        <v>7735467.3789354125</v>
      </c>
      <c r="G29" s="78">
        <v>430.8</v>
      </c>
      <c r="H29" s="78">
        <v>0</v>
      </c>
      <c r="I29" s="78">
        <f t="shared" si="7"/>
        <v>400.06210526315817</v>
      </c>
      <c r="J29" s="78">
        <f t="shared" si="7"/>
        <v>0.74263157894736409</v>
      </c>
      <c r="K29" s="30">
        <v>0</v>
      </c>
      <c r="L29" s="30">
        <v>2459</v>
      </c>
      <c r="M29" s="30">
        <v>27</v>
      </c>
      <c r="N29" s="81">
        <v>0</v>
      </c>
      <c r="O29" s="30">
        <f t="shared" si="6"/>
        <v>7633416.388509308</v>
      </c>
      <c r="P29" s="30">
        <f t="shared" si="1"/>
        <v>7568968.2395738931</v>
      </c>
      <c r="Q29" s="30">
        <f t="shared" si="2"/>
        <v>-102050.99042610452</v>
      </c>
      <c r="R29" s="48">
        <f t="shared" si="3"/>
        <v>1.3192608206713063E-2</v>
      </c>
      <c r="S29" t="s">
        <v>27</v>
      </c>
      <c r="T29">
        <v>24381832010483</v>
      </c>
      <c r="U29" t="s">
        <v>28</v>
      </c>
      <c r="V29">
        <v>441649.92480907799</v>
      </c>
      <c r="AE29" s="2"/>
      <c r="AF29" s="49"/>
      <c r="AG29" s="65"/>
      <c r="AH29" s="69"/>
      <c r="AI29" s="2"/>
      <c r="AJ29" s="37"/>
      <c r="AM29" s="2"/>
      <c r="AN29" s="70"/>
      <c r="AO29" s="5"/>
      <c r="AP29" s="5"/>
      <c r="AQ29" s="2"/>
      <c r="AR29" s="70"/>
      <c r="AS29" s="5"/>
      <c r="AT29" s="5"/>
    </row>
    <row r="30" spans="1:46" x14ac:dyDescent="0.2">
      <c r="A30" s="2">
        <v>41365</v>
      </c>
      <c r="B30">
        <f t="shared" si="4"/>
        <v>2013</v>
      </c>
      <c r="C30">
        <f t="shared" si="5"/>
        <v>4</v>
      </c>
      <c r="D30" s="88">
        <v>6871568.5999999996</v>
      </c>
      <c r="E30" s="88">
        <v>64448.148935414909</v>
      </c>
      <c r="F30" s="88">
        <v>6936016.7489354145</v>
      </c>
      <c r="G30" s="78">
        <v>239.99999999999997</v>
      </c>
      <c r="H30" s="78">
        <v>1.4000000000000004</v>
      </c>
      <c r="I30" s="78">
        <f t="shared" si="7"/>
        <v>225.72052631578936</v>
      </c>
      <c r="J30" s="78">
        <f t="shared" si="7"/>
        <v>0</v>
      </c>
      <c r="K30" s="30">
        <v>0</v>
      </c>
      <c r="L30" s="30">
        <v>2464</v>
      </c>
      <c r="M30" s="30">
        <v>28</v>
      </c>
      <c r="N30" s="81">
        <v>0</v>
      </c>
      <c r="O30" s="30">
        <f t="shared" si="6"/>
        <v>6879945.029957951</v>
      </c>
      <c r="P30" s="30">
        <f t="shared" si="1"/>
        <v>6815496.8810225362</v>
      </c>
      <c r="Q30" s="30">
        <f t="shared" si="2"/>
        <v>-56071.718977463432</v>
      </c>
      <c r="R30" s="48">
        <f t="shared" si="3"/>
        <v>8.0841383472826378E-3</v>
      </c>
      <c r="S30" t="s">
        <v>29</v>
      </c>
      <c r="T30">
        <v>0.688401738845417</v>
      </c>
      <c r="U30" t="s">
        <v>30</v>
      </c>
      <c r="V30" s="79">
        <v>0.67344502230999703</v>
      </c>
      <c r="AE30" s="2"/>
      <c r="AF30" s="49"/>
      <c r="AG30" s="112"/>
      <c r="AH30" s="69"/>
      <c r="AI30" s="2"/>
      <c r="AJ30" s="37"/>
      <c r="AM30" s="2"/>
      <c r="AN30" s="70"/>
      <c r="AO30" s="5"/>
      <c r="AP30" s="5"/>
      <c r="AQ30" s="2"/>
      <c r="AR30" s="70"/>
      <c r="AS30" s="5"/>
      <c r="AT30" s="5"/>
    </row>
    <row r="31" spans="1:46" x14ac:dyDescent="0.2">
      <c r="A31" s="2">
        <v>41395</v>
      </c>
      <c r="B31">
        <f t="shared" si="4"/>
        <v>2013</v>
      </c>
      <c r="C31">
        <f t="shared" si="5"/>
        <v>5</v>
      </c>
      <c r="D31" s="88">
        <v>6873417.9000000032</v>
      </c>
      <c r="E31" s="88">
        <v>64448.148935414909</v>
      </c>
      <c r="F31" s="88">
        <v>6937866.048935418</v>
      </c>
      <c r="G31" s="78">
        <v>45.1</v>
      </c>
      <c r="H31" s="78">
        <v>83.1</v>
      </c>
      <c r="I31" s="78">
        <f t="shared" si="7"/>
        <v>59.688947368421054</v>
      </c>
      <c r="J31" s="78">
        <f t="shared" si="7"/>
        <v>80.273684210525971</v>
      </c>
      <c r="K31" s="30">
        <v>0</v>
      </c>
      <c r="L31" s="30">
        <v>2462</v>
      </c>
      <c r="M31" s="30">
        <v>29</v>
      </c>
      <c r="N31" s="81">
        <v>0</v>
      </c>
      <c r="O31" s="30">
        <f t="shared" si="6"/>
        <v>6974020.0919917142</v>
      </c>
      <c r="P31" s="30">
        <f t="shared" si="1"/>
        <v>6909571.9430562994</v>
      </c>
      <c r="Q31" s="30">
        <f t="shared" si="2"/>
        <v>36154.043056296185</v>
      </c>
      <c r="R31" s="48">
        <f t="shared" si="3"/>
        <v>5.2111186352241335E-3</v>
      </c>
      <c r="S31" t="s">
        <v>89</v>
      </c>
      <c r="T31">
        <v>53.218325624543901</v>
      </c>
      <c r="U31" t="s">
        <v>31</v>
      </c>
      <c r="V31" s="79">
        <v>4.0383923664712798E-32</v>
      </c>
      <c r="AE31" s="2"/>
      <c r="AF31" s="49"/>
      <c r="AG31" s="65"/>
      <c r="AH31" s="69"/>
      <c r="AI31" s="2"/>
      <c r="AJ31" s="37"/>
      <c r="AM31" s="2"/>
      <c r="AN31" s="70"/>
      <c r="AO31" s="5"/>
      <c r="AP31" s="5"/>
      <c r="AQ31" s="2"/>
      <c r="AR31" s="70"/>
      <c r="AS31" s="5"/>
      <c r="AT31" s="5"/>
    </row>
    <row r="32" spans="1:46" x14ac:dyDescent="0.2">
      <c r="A32" s="2">
        <v>41426</v>
      </c>
      <c r="B32">
        <f t="shared" si="4"/>
        <v>2013</v>
      </c>
      <c r="C32">
        <f t="shared" si="5"/>
        <v>6</v>
      </c>
      <c r="D32" s="88">
        <v>6715915.2699999977</v>
      </c>
      <c r="E32" s="88">
        <v>64448.148935414909</v>
      </c>
      <c r="F32" s="88">
        <v>6780363.4189354125</v>
      </c>
      <c r="G32" s="78">
        <v>2.5999999999999996</v>
      </c>
      <c r="H32" s="78">
        <v>149.19999999999999</v>
      </c>
      <c r="I32" s="78">
        <f t="shared" si="7"/>
        <v>1.08894736842106</v>
      </c>
      <c r="J32" s="78">
        <f t="shared" si="7"/>
        <v>177.38052631578967</v>
      </c>
      <c r="K32" s="30">
        <v>0</v>
      </c>
      <c r="L32" s="30">
        <v>2453</v>
      </c>
      <c r="M32" s="30">
        <v>30</v>
      </c>
      <c r="N32" s="81">
        <v>0</v>
      </c>
      <c r="O32" s="30">
        <f t="shared" si="6"/>
        <v>6915072.4179946873</v>
      </c>
      <c r="P32" s="30">
        <f t="shared" si="1"/>
        <v>6850624.2690592725</v>
      </c>
      <c r="Q32" s="30">
        <f t="shared" si="2"/>
        <v>134708.99905927479</v>
      </c>
      <c r="R32" s="48">
        <f t="shared" si="3"/>
        <v>1.98675190009838E-2</v>
      </c>
      <c r="S32" t="s">
        <v>32</v>
      </c>
      <c r="T32">
        <v>-2.50123868159357E-3</v>
      </c>
      <c r="U32" t="s">
        <v>33</v>
      </c>
      <c r="V32">
        <v>1.9576675850104199</v>
      </c>
      <c r="AE32" s="2"/>
      <c r="AF32" s="49"/>
      <c r="AG32" s="65"/>
      <c r="AH32" s="69"/>
      <c r="AI32" s="2"/>
      <c r="AJ32" s="37"/>
      <c r="AM32" s="2"/>
      <c r="AN32" s="70"/>
      <c r="AO32" s="5"/>
      <c r="AP32" s="5"/>
      <c r="AQ32" s="2"/>
      <c r="AR32" s="70"/>
      <c r="AS32" s="5"/>
      <c r="AT32" s="5"/>
    </row>
    <row r="33" spans="1:49" x14ac:dyDescent="0.2">
      <c r="A33" s="2">
        <v>41456</v>
      </c>
      <c r="B33">
        <f t="shared" si="4"/>
        <v>2013</v>
      </c>
      <c r="C33">
        <f t="shared" si="5"/>
        <v>7</v>
      </c>
      <c r="D33" s="88">
        <v>7529495.0199999996</v>
      </c>
      <c r="E33" s="88">
        <v>64448.148935414909</v>
      </c>
      <c r="F33" s="88">
        <v>7593943.1689354144</v>
      </c>
      <c r="G33" s="78">
        <v>0</v>
      </c>
      <c r="H33" s="78">
        <v>257.30000000000007</v>
      </c>
      <c r="I33" s="78">
        <f t="shared" si="7"/>
        <v>0</v>
      </c>
      <c r="J33" s="78">
        <f t="shared" si="7"/>
        <v>273.7568421052631</v>
      </c>
      <c r="K33" s="30">
        <v>0</v>
      </c>
      <c r="L33" s="30">
        <v>2456</v>
      </c>
      <c r="M33" s="30">
        <v>31</v>
      </c>
      <c r="N33" s="81">
        <v>0</v>
      </c>
      <c r="O33" s="30">
        <f t="shared" si="6"/>
        <v>7675645.9502052693</v>
      </c>
      <c r="P33" s="30">
        <f t="shared" si="1"/>
        <v>7611197.8012698544</v>
      </c>
      <c r="Q33" s="30">
        <f t="shared" si="2"/>
        <v>81702.781269854866</v>
      </c>
      <c r="R33" s="48">
        <f t="shared" si="3"/>
        <v>1.0758940309703249E-2</v>
      </c>
      <c r="W33" s="79"/>
      <c r="AC33" s="79"/>
      <c r="AE33" s="2"/>
      <c r="AF33" s="49"/>
      <c r="AG33" s="112"/>
      <c r="AH33" s="69"/>
      <c r="AI33" s="2"/>
      <c r="AJ33" s="37"/>
      <c r="AM33" s="2"/>
      <c r="AN33" s="70"/>
      <c r="AO33" s="5"/>
      <c r="AP33" s="5"/>
      <c r="AQ33" s="2"/>
      <c r="AR33" s="70"/>
      <c r="AS33" s="5"/>
      <c r="AT33" s="5"/>
    </row>
    <row r="34" spans="1:49" x14ac:dyDescent="0.2">
      <c r="A34" s="2">
        <v>41487</v>
      </c>
      <c r="B34">
        <f t="shared" si="4"/>
        <v>2013</v>
      </c>
      <c r="C34">
        <f t="shared" si="5"/>
        <v>8</v>
      </c>
      <c r="D34" s="88">
        <v>7547300.5200000023</v>
      </c>
      <c r="E34" s="88">
        <v>64448.148935414909</v>
      </c>
      <c r="F34" s="88">
        <v>7611748.6689354172</v>
      </c>
      <c r="G34" s="78">
        <v>0</v>
      </c>
      <c r="H34" s="78">
        <v>213.4</v>
      </c>
      <c r="I34" s="78">
        <f t="shared" si="7"/>
        <v>0</v>
      </c>
      <c r="J34" s="78">
        <f t="shared" si="7"/>
        <v>253.05789473684217</v>
      </c>
      <c r="K34" s="30">
        <v>0</v>
      </c>
      <c r="L34" s="30">
        <v>2459</v>
      </c>
      <c r="M34" s="30">
        <v>32</v>
      </c>
      <c r="N34" s="81">
        <v>0</v>
      </c>
      <c r="O34" s="30">
        <f t="shared" si="6"/>
        <v>7808637.0074503096</v>
      </c>
      <c r="P34" s="30">
        <f t="shared" si="1"/>
        <v>7744188.8585148947</v>
      </c>
      <c r="Q34" s="30">
        <f t="shared" si="2"/>
        <v>196888.33851489238</v>
      </c>
      <c r="R34" s="48">
        <f t="shared" si="3"/>
        <v>2.5866374085421463E-2</v>
      </c>
      <c r="W34" s="79"/>
      <c r="AC34" s="79"/>
      <c r="AE34" s="2"/>
      <c r="AF34" s="49"/>
      <c r="AG34" s="65"/>
      <c r="AH34" s="69"/>
      <c r="AI34" s="2"/>
      <c r="AJ34" s="37"/>
      <c r="AM34" s="2"/>
      <c r="AN34" s="70"/>
      <c r="AO34" s="5"/>
      <c r="AP34" s="5"/>
      <c r="AQ34" s="2"/>
      <c r="AR34" s="70"/>
      <c r="AS34" s="5"/>
      <c r="AT34" s="5"/>
    </row>
    <row r="35" spans="1:49" x14ac:dyDescent="0.2">
      <c r="A35" s="2">
        <v>41518</v>
      </c>
      <c r="B35">
        <f t="shared" si="4"/>
        <v>2013</v>
      </c>
      <c r="C35">
        <f t="shared" si="5"/>
        <v>9</v>
      </c>
      <c r="D35" s="88">
        <v>6186232.4199999981</v>
      </c>
      <c r="E35" s="88">
        <v>64448.148935414909</v>
      </c>
      <c r="F35" s="88">
        <v>6250680.5689354129</v>
      </c>
      <c r="G35" s="78">
        <v>22.099999999999998</v>
      </c>
      <c r="H35" s="78">
        <v>80.200000000000017</v>
      </c>
      <c r="I35" s="78">
        <f t="shared" ref="I35:J50" si="8">I47</f>
        <v>9.9542105263157907</v>
      </c>
      <c r="J35" s="78">
        <f t="shared" si="8"/>
        <v>120.49421052631581</v>
      </c>
      <c r="K35" s="30">
        <v>1</v>
      </c>
      <c r="L35" s="30">
        <v>2460</v>
      </c>
      <c r="M35" s="30">
        <v>33</v>
      </c>
      <c r="N35" s="81">
        <v>0</v>
      </c>
      <c r="O35" s="30">
        <f t="shared" si="6"/>
        <v>6408946.665911423</v>
      </c>
      <c r="P35" s="30">
        <f t="shared" si="1"/>
        <v>6344498.5169760082</v>
      </c>
      <c r="Q35" s="30">
        <f t="shared" si="2"/>
        <v>158266.09697601013</v>
      </c>
      <c r="R35" s="48">
        <f t="shared" si="3"/>
        <v>2.5319818415063446E-2</v>
      </c>
      <c r="W35" s="79"/>
      <c r="AC35" s="79"/>
      <c r="AE35" s="2"/>
      <c r="AF35" s="49"/>
      <c r="AG35" s="65"/>
      <c r="AH35" s="69"/>
      <c r="AI35" s="2"/>
      <c r="AJ35" s="37"/>
      <c r="AM35" s="2"/>
      <c r="AN35" s="70"/>
      <c r="AO35" s="5"/>
      <c r="AP35" s="5"/>
      <c r="AQ35" s="2"/>
      <c r="AR35" s="70"/>
      <c r="AS35" s="37"/>
      <c r="AT35" s="5"/>
    </row>
    <row r="36" spans="1:49" x14ac:dyDescent="0.2">
      <c r="A36" s="2">
        <v>41548</v>
      </c>
      <c r="B36">
        <f t="shared" si="4"/>
        <v>2013</v>
      </c>
      <c r="C36">
        <f t="shared" si="5"/>
        <v>10</v>
      </c>
      <c r="D36" s="88">
        <v>6762438.1099999994</v>
      </c>
      <c r="E36" s="88">
        <v>64448.148935414909</v>
      </c>
      <c r="F36" s="88">
        <v>6826886.2589354143</v>
      </c>
      <c r="G36" s="78">
        <v>115.4</v>
      </c>
      <c r="H36" s="78">
        <v>16.100000000000001</v>
      </c>
      <c r="I36" s="78">
        <f t="shared" si="8"/>
        <v>107.70315789473716</v>
      </c>
      <c r="J36" s="78">
        <f t="shared" si="8"/>
        <v>25.808421052631616</v>
      </c>
      <c r="K36" s="30">
        <v>1</v>
      </c>
      <c r="L36" s="30">
        <v>2463</v>
      </c>
      <c r="M36" s="30">
        <v>34</v>
      </c>
      <c r="N36" s="81">
        <v>0</v>
      </c>
      <c r="O36" s="30">
        <f t="shared" si="6"/>
        <v>6848608.335485247</v>
      </c>
      <c r="P36" s="30">
        <f t="shared" si="1"/>
        <v>6784160.1865498321</v>
      </c>
      <c r="Q36" s="30">
        <f t="shared" si="2"/>
        <v>21722.076549832709</v>
      </c>
      <c r="R36" s="48">
        <f t="shared" si="3"/>
        <v>3.1818424572991281E-3</v>
      </c>
      <c r="AE36" s="2"/>
      <c r="AF36" s="49"/>
      <c r="AH36" s="69"/>
      <c r="AI36" s="2"/>
      <c r="AJ36" s="37"/>
      <c r="AM36" s="2"/>
      <c r="AN36" s="70"/>
      <c r="AO36" s="5"/>
      <c r="AP36" s="5"/>
      <c r="AQ36" s="2"/>
      <c r="AR36" s="70"/>
      <c r="AS36" s="5"/>
      <c r="AT36" s="5"/>
    </row>
    <row r="37" spans="1:49" x14ac:dyDescent="0.2">
      <c r="A37" s="2">
        <v>41579</v>
      </c>
      <c r="B37">
        <f t="shared" si="4"/>
        <v>2013</v>
      </c>
      <c r="C37">
        <f t="shared" si="5"/>
        <v>11</v>
      </c>
      <c r="D37" s="88">
        <v>6874649.0500000017</v>
      </c>
      <c r="E37" s="88">
        <v>64448.148935414909</v>
      </c>
      <c r="F37" s="88">
        <v>6939097.1989354165</v>
      </c>
      <c r="G37" s="78">
        <v>358.20000000000005</v>
      </c>
      <c r="H37" s="78">
        <v>0</v>
      </c>
      <c r="I37" s="78">
        <f t="shared" si="8"/>
        <v>305.31105263157906</v>
      </c>
      <c r="J37" s="78">
        <f t="shared" si="8"/>
        <v>1.3363157894737014</v>
      </c>
      <c r="K37" s="30">
        <v>1</v>
      </c>
      <c r="L37" s="30">
        <v>2472</v>
      </c>
      <c r="M37" s="30">
        <v>35</v>
      </c>
      <c r="N37" s="81">
        <v>0</v>
      </c>
      <c r="O37" s="30">
        <f t="shared" si="6"/>
        <v>6763794.3555596378</v>
      </c>
      <c r="P37" s="30">
        <f t="shared" si="1"/>
        <v>6699346.2066242229</v>
      </c>
      <c r="Q37" s="30">
        <f t="shared" si="2"/>
        <v>-175302.84337577876</v>
      </c>
      <c r="R37" s="48">
        <f t="shared" si="3"/>
        <v>2.5263062088635015E-2</v>
      </c>
      <c r="AE37" s="2"/>
      <c r="AI37" s="2"/>
      <c r="AM37" s="2"/>
      <c r="AN37" s="72"/>
      <c r="AO37" s="5"/>
      <c r="AP37" s="5"/>
      <c r="AQ37" s="2"/>
      <c r="AR37" s="72"/>
      <c r="AS37" s="67"/>
      <c r="AT37" s="5"/>
      <c r="AU37" s="28"/>
      <c r="AV37" s="28"/>
    </row>
    <row r="38" spans="1:49" x14ac:dyDescent="0.2">
      <c r="A38" s="2">
        <v>41609</v>
      </c>
      <c r="B38">
        <f t="shared" si="4"/>
        <v>2013</v>
      </c>
      <c r="C38">
        <f t="shared" si="5"/>
        <v>12</v>
      </c>
      <c r="D38" s="88">
        <v>9468067.9800000042</v>
      </c>
      <c r="E38" s="88">
        <v>64448.148935414909</v>
      </c>
      <c r="F38" s="88">
        <v>9532516.128935419</v>
      </c>
      <c r="G38" s="78">
        <v>563.9</v>
      </c>
      <c r="H38" s="78">
        <v>0</v>
      </c>
      <c r="I38" s="78">
        <f t="shared" si="8"/>
        <v>437.78421052631529</v>
      </c>
      <c r="J38" s="78">
        <f t="shared" si="8"/>
        <v>0</v>
      </c>
      <c r="K38" s="30">
        <v>0</v>
      </c>
      <c r="L38" s="30">
        <v>2477</v>
      </c>
      <c r="M38" s="30">
        <v>36</v>
      </c>
      <c r="N38" s="81">
        <v>0</v>
      </c>
      <c r="O38" s="30">
        <f t="shared" si="6"/>
        <v>9098679.647796154</v>
      </c>
      <c r="P38" s="30">
        <f t="shared" si="1"/>
        <v>9034231.4988607392</v>
      </c>
      <c r="Q38" s="30">
        <f t="shared" si="2"/>
        <v>-433836.481139265</v>
      </c>
      <c r="R38" s="48">
        <f t="shared" si="3"/>
        <v>4.5511224452312087E-2</v>
      </c>
      <c r="AE38" s="2"/>
      <c r="AI38" s="2"/>
      <c r="AM38" s="2"/>
      <c r="AN38" s="72"/>
      <c r="AO38" s="5"/>
      <c r="AP38" s="5"/>
      <c r="AQ38" s="2"/>
      <c r="AR38" s="72"/>
      <c r="AS38" s="5"/>
      <c r="AT38" s="5"/>
      <c r="AU38" s="28"/>
      <c r="AV38" s="28"/>
    </row>
    <row r="39" spans="1:49" x14ac:dyDescent="0.2">
      <c r="A39" s="2">
        <v>41640</v>
      </c>
      <c r="B39">
        <f t="shared" si="4"/>
        <v>2014</v>
      </c>
      <c r="C39">
        <f t="shared" si="5"/>
        <v>1</v>
      </c>
      <c r="D39" s="88">
        <v>7382347.2899999991</v>
      </c>
      <c r="E39" s="88">
        <v>105551.56172052656</v>
      </c>
      <c r="F39" s="88">
        <v>7487898.8517205259</v>
      </c>
      <c r="G39" s="78">
        <v>701.9000000000002</v>
      </c>
      <c r="H39" s="78">
        <v>0</v>
      </c>
      <c r="I39" s="78">
        <f t="shared" si="8"/>
        <v>557.82052631578927</v>
      </c>
      <c r="J39" s="78">
        <f t="shared" si="8"/>
        <v>0</v>
      </c>
      <c r="K39" s="30">
        <v>0</v>
      </c>
      <c r="L39" s="30">
        <v>2482</v>
      </c>
      <c r="M39" s="30">
        <v>37</v>
      </c>
      <c r="N39" s="81">
        <v>0</v>
      </c>
      <c r="O39" s="30">
        <f t="shared" si="6"/>
        <v>6992267.5582210068</v>
      </c>
      <c r="P39" s="30">
        <f t="shared" si="1"/>
        <v>6886715.99650048</v>
      </c>
      <c r="Q39" s="30">
        <f t="shared" si="2"/>
        <v>-495631.29349951912</v>
      </c>
      <c r="R39" s="48">
        <f t="shared" si="3"/>
        <v>6.6190970700096441E-2</v>
      </c>
      <c r="W39" s="79"/>
      <c r="AC39" s="79"/>
      <c r="AE39" s="2"/>
      <c r="AI39" s="2"/>
      <c r="AM39" s="2"/>
      <c r="AN39" s="72"/>
      <c r="AO39" s="5"/>
      <c r="AP39" s="5"/>
      <c r="AQ39" s="2"/>
      <c r="AR39" s="72"/>
      <c r="AS39" s="5"/>
      <c r="AT39" s="5"/>
      <c r="AU39" s="28"/>
      <c r="AV39" s="28"/>
    </row>
    <row r="40" spans="1:49" x14ac:dyDescent="0.2">
      <c r="A40" s="2">
        <v>41671</v>
      </c>
      <c r="B40">
        <f t="shared" si="4"/>
        <v>2014</v>
      </c>
      <c r="C40">
        <f t="shared" si="5"/>
        <v>2</v>
      </c>
      <c r="D40" s="88">
        <v>8397444.3799999971</v>
      </c>
      <c r="E40" s="88">
        <v>105551.56172052656</v>
      </c>
      <c r="F40" s="88">
        <v>8502995.9417205229</v>
      </c>
      <c r="G40" s="78">
        <v>625.09999999999991</v>
      </c>
      <c r="H40" s="78">
        <v>0</v>
      </c>
      <c r="I40" s="78">
        <f t="shared" si="8"/>
        <v>513.95684210526292</v>
      </c>
      <c r="J40" s="78">
        <f t="shared" si="8"/>
        <v>0</v>
      </c>
      <c r="K40" s="30">
        <v>0</v>
      </c>
      <c r="L40" s="30">
        <v>2488</v>
      </c>
      <c r="M40" s="30">
        <v>38</v>
      </c>
      <c r="N40" s="81">
        <v>0</v>
      </c>
      <c r="O40" s="30">
        <f t="shared" si="6"/>
        <v>8120665.0954007646</v>
      </c>
      <c r="P40" s="30">
        <f t="shared" si="1"/>
        <v>8015113.5336802378</v>
      </c>
      <c r="Q40" s="30">
        <f t="shared" si="2"/>
        <v>-382330.84631975833</v>
      </c>
      <c r="R40" s="48">
        <f t="shared" si="3"/>
        <v>4.4964251299218695E-2</v>
      </c>
      <c r="V40" s="79"/>
      <c r="W40" s="79"/>
      <c r="AE40" s="2"/>
      <c r="AI40" s="2"/>
      <c r="AM40" s="2"/>
      <c r="AN40" s="72"/>
      <c r="AO40" s="5"/>
      <c r="AP40" s="5"/>
      <c r="AQ40" s="2"/>
      <c r="AR40" s="72"/>
      <c r="AS40" s="5"/>
      <c r="AT40" s="5"/>
      <c r="AU40" s="28"/>
      <c r="AV40" s="28"/>
    </row>
    <row r="41" spans="1:49" x14ac:dyDescent="0.2">
      <c r="A41" s="2">
        <v>41699</v>
      </c>
      <c r="B41">
        <f t="shared" si="4"/>
        <v>2014</v>
      </c>
      <c r="C41">
        <f t="shared" si="5"/>
        <v>3</v>
      </c>
      <c r="D41" s="88">
        <v>8130248.8600000041</v>
      </c>
      <c r="E41" s="88">
        <v>105551.56172052656</v>
      </c>
      <c r="F41" s="88">
        <v>8235800.4217205308</v>
      </c>
      <c r="G41" s="78">
        <v>566.6</v>
      </c>
      <c r="H41" s="78">
        <v>0</v>
      </c>
      <c r="I41" s="78">
        <f t="shared" si="8"/>
        <v>400.06210526315817</v>
      </c>
      <c r="J41" s="78">
        <f t="shared" si="8"/>
        <v>0.74263157894736409</v>
      </c>
      <c r="K41" s="30">
        <v>0</v>
      </c>
      <c r="L41" s="30">
        <v>2489</v>
      </c>
      <c r="M41" s="30">
        <v>39</v>
      </c>
      <c r="N41" s="81">
        <v>0</v>
      </c>
      <c r="O41" s="30">
        <f t="shared" si="6"/>
        <v>7666599.4068242125</v>
      </c>
      <c r="P41" s="30">
        <f t="shared" si="1"/>
        <v>7561047.8451036857</v>
      </c>
      <c r="Q41" s="30">
        <f t="shared" si="2"/>
        <v>-569201.01489631832</v>
      </c>
      <c r="R41" s="48">
        <f t="shared" si="3"/>
        <v>6.9113017041445887E-2</v>
      </c>
      <c r="W41" s="79"/>
      <c r="AE41" s="2"/>
      <c r="AI41" s="2"/>
      <c r="AM41" s="2"/>
      <c r="AN41" s="72"/>
      <c r="AO41" s="5"/>
      <c r="AP41" s="5"/>
      <c r="AQ41" s="2"/>
      <c r="AR41" s="72"/>
      <c r="AS41" s="5"/>
      <c r="AT41" s="5"/>
      <c r="AU41" s="28"/>
      <c r="AV41" s="28"/>
    </row>
    <row r="42" spans="1:49" x14ac:dyDescent="0.2">
      <c r="A42" s="2">
        <v>41730</v>
      </c>
      <c r="B42">
        <f t="shared" si="4"/>
        <v>2014</v>
      </c>
      <c r="C42">
        <f t="shared" si="5"/>
        <v>4</v>
      </c>
      <c r="D42" s="88">
        <v>7475909.6799999997</v>
      </c>
      <c r="E42" s="88">
        <v>105551.56172052656</v>
      </c>
      <c r="F42" s="88">
        <v>7581461.2417205265</v>
      </c>
      <c r="G42" s="78">
        <v>236.89999999999995</v>
      </c>
      <c r="H42" s="78">
        <v>0</v>
      </c>
      <c r="I42" s="78">
        <f t="shared" si="8"/>
        <v>225.72052631578936</v>
      </c>
      <c r="J42" s="78">
        <f t="shared" si="8"/>
        <v>0</v>
      </c>
      <c r="K42" s="30">
        <v>0</v>
      </c>
      <c r="L42" s="30">
        <v>2491</v>
      </c>
      <c r="M42" s="30">
        <v>40</v>
      </c>
      <c r="N42" s="81">
        <v>0</v>
      </c>
      <c r="O42" s="30">
        <f t="shared" si="6"/>
        <v>7543004.0148785301</v>
      </c>
      <c r="P42" s="30">
        <f t="shared" si="1"/>
        <v>7437452.4531580033</v>
      </c>
      <c r="Q42" s="30">
        <f t="shared" si="2"/>
        <v>-38457.226841996424</v>
      </c>
      <c r="R42" s="48">
        <f t="shared" si="3"/>
        <v>5.072534913239099E-3</v>
      </c>
      <c r="W42" s="79"/>
      <c r="AE42" s="2"/>
      <c r="AI42" s="2"/>
      <c r="AM42" s="2"/>
      <c r="AN42" s="72"/>
      <c r="AO42" s="5"/>
      <c r="AP42" s="5"/>
      <c r="AQ42" s="2"/>
      <c r="AR42" s="72"/>
      <c r="AS42" s="5"/>
      <c r="AT42" s="5"/>
      <c r="AU42" s="28"/>
      <c r="AV42" s="28"/>
    </row>
    <row r="43" spans="1:49" x14ac:dyDescent="0.2">
      <c r="A43" s="2">
        <v>41760</v>
      </c>
      <c r="B43">
        <f t="shared" si="4"/>
        <v>2014</v>
      </c>
      <c r="C43">
        <f t="shared" si="5"/>
        <v>5</v>
      </c>
      <c r="D43" s="88">
        <v>6796663.4799999958</v>
      </c>
      <c r="E43" s="88">
        <v>105551.56172052656</v>
      </c>
      <c r="F43" s="88">
        <v>6902215.0417205226</v>
      </c>
      <c r="G43" s="78">
        <v>46.599999999999994</v>
      </c>
      <c r="H43" s="78">
        <v>50.400000000000006</v>
      </c>
      <c r="I43" s="78">
        <f t="shared" si="8"/>
        <v>59.688947368421054</v>
      </c>
      <c r="J43" s="78">
        <f t="shared" si="8"/>
        <v>80.273684210525971</v>
      </c>
      <c r="K43" s="30">
        <v>0</v>
      </c>
      <c r="L43" s="30">
        <v>2495</v>
      </c>
      <c r="M43" s="30">
        <v>41</v>
      </c>
      <c r="N43" s="81">
        <v>0</v>
      </c>
      <c r="O43" s="30">
        <f t="shared" si="6"/>
        <v>7095553.7976652617</v>
      </c>
      <c r="P43" s="30">
        <f t="shared" si="1"/>
        <v>6990002.2359447349</v>
      </c>
      <c r="Q43" s="30">
        <f t="shared" si="2"/>
        <v>193338.7559447391</v>
      </c>
      <c r="R43" s="48">
        <f t="shared" si="3"/>
        <v>2.8011117413192815E-2</v>
      </c>
      <c r="Z43" s="79"/>
      <c r="AE43" s="2"/>
      <c r="AI43" s="2"/>
      <c r="AM43" s="2"/>
      <c r="AN43" s="72"/>
      <c r="AO43" s="5"/>
      <c r="AP43" s="5"/>
      <c r="AQ43" s="2"/>
      <c r="AR43" s="72"/>
      <c r="AS43" s="5"/>
      <c r="AT43" s="5"/>
      <c r="AU43" s="28"/>
      <c r="AV43" s="28"/>
    </row>
    <row r="44" spans="1:49" x14ac:dyDescent="0.2">
      <c r="A44" s="2">
        <v>41791</v>
      </c>
      <c r="B44">
        <f t="shared" si="4"/>
        <v>2014</v>
      </c>
      <c r="C44">
        <f t="shared" si="5"/>
        <v>6</v>
      </c>
      <c r="D44" s="88">
        <v>6448751.459999999</v>
      </c>
      <c r="E44" s="88">
        <v>105551.56172052656</v>
      </c>
      <c r="F44" s="88">
        <v>6554303.0217205258</v>
      </c>
      <c r="G44" s="78">
        <v>0</v>
      </c>
      <c r="H44" s="78">
        <v>174</v>
      </c>
      <c r="I44" s="78">
        <f t="shared" si="8"/>
        <v>1.08894736842106</v>
      </c>
      <c r="J44" s="78">
        <f t="shared" si="8"/>
        <v>177.38052631578967</v>
      </c>
      <c r="K44" s="30">
        <v>0</v>
      </c>
      <c r="L44" s="30">
        <v>2502</v>
      </c>
      <c r="M44" s="30">
        <v>42</v>
      </c>
      <c r="N44" s="81">
        <v>0</v>
      </c>
      <c r="O44" s="30">
        <f t="shared" si="6"/>
        <v>6574832.1805569399</v>
      </c>
      <c r="P44" s="30">
        <f t="shared" si="1"/>
        <v>6469280.6188364131</v>
      </c>
      <c r="Q44" s="30">
        <f t="shared" si="2"/>
        <v>20529.158836414106</v>
      </c>
      <c r="R44" s="48">
        <f t="shared" si="3"/>
        <v>3.1321650476613355E-3</v>
      </c>
      <c r="W44" s="79"/>
      <c r="AB44" s="79"/>
      <c r="AE44" s="2"/>
      <c r="AI44" s="2"/>
      <c r="AM44" s="2"/>
      <c r="AN44" s="72"/>
      <c r="AO44" s="5"/>
      <c r="AP44" s="5"/>
      <c r="AQ44" s="2"/>
      <c r="AR44" s="72"/>
      <c r="AS44" s="5"/>
      <c r="AT44" s="5"/>
      <c r="AU44" s="28"/>
      <c r="AV44" s="28"/>
    </row>
    <row r="45" spans="1:49" x14ac:dyDescent="0.2">
      <c r="A45" s="2">
        <v>41821</v>
      </c>
      <c r="B45">
        <f t="shared" si="4"/>
        <v>2014</v>
      </c>
      <c r="C45">
        <f t="shared" si="5"/>
        <v>7</v>
      </c>
      <c r="D45" s="88">
        <v>7390493.370000002</v>
      </c>
      <c r="E45" s="88">
        <v>105551.56172052656</v>
      </c>
      <c r="F45" s="88">
        <v>7496044.9317205288</v>
      </c>
      <c r="G45" s="78">
        <v>0</v>
      </c>
      <c r="H45" s="78">
        <v>190.99999999999997</v>
      </c>
      <c r="I45" s="78">
        <f t="shared" si="8"/>
        <v>0</v>
      </c>
      <c r="J45" s="78">
        <f t="shared" si="8"/>
        <v>273.7568421052631</v>
      </c>
      <c r="K45" s="30">
        <v>0</v>
      </c>
      <c r="L45" s="30">
        <v>2512</v>
      </c>
      <c r="M45" s="30">
        <v>43</v>
      </c>
      <c r="N45" s="81">
        <v>0</v>
      </c>
      <c r="O45" s="30">
        <f t="shared" si="6"/>
        <v>7906905.2976316707</v>
      </c>
      <c r="P45" s="30">
        <f t="shared" si="1"/>
        <v>7801353.7359111439</v>
      </c>
      <c r="Q45" s="30">
        <f t="shared" si="2"/>
        <v>410860.36591114197</v>
      </c>
      <c r="R45" s="48">
        <f t="shared" si="3"/>
        <v>5.4810285911245107E-2</v>
      </c>
      <c r="T45" s="79"/>
      <c r="W45" s="79"/>
      <c r="AB45" s="79"/>
      <c r="AE45" s="2"/>
      <c r="AI45" s="2"/>
      <c r="AM45" s="2"/>
      <c r="AN45" s="72"/>
      <c r="AO45" s="5"/>
      <c r="AP45" s="5"/>
      <c r="AQ45" s="2"/>
      <c r="AR45" s="72"/>
      <c r="AS45" s="5"/>
      <c r="AT45" s="5"/>
      <c r="AU45" s="28"/>
      <c r="AV45" s="28"/>
    </row>
    <row r="46" spans="1:49" x14ac:dyDescent="0.2">
      <c r="A46" s="2">
        <v>41852</v>
      </c>
      <c r="B46">
        <f t="shared" si="4"/>
        <v>2014</v>
      </c>
      <c r="C46">
        <f t="shared" si="5"/>
        <v>8</v>
      </c>
      <c r="D46" s="88">
        <v>6944132.1800000006</v>
      </c>
      <c r="E46" s="88">
        <v>105551.56172052656</v>
      </c>
      <c r="F46" s="88">
        <v>7049683.7417205274</v>
      </c>
      <c r="G46" s="78">
        <v>0</v>
      </c>
      <c r="H46" s="78">
        <v>197</v>
      </c>
      <c r="I46" s="78">
        <f t="shared" si="8"/>
        <v>0</v>
      </c>
      <c r="J46" s="78">
        <f t="shared" si="8"/>
        <v>253.05789473684217</v>
      </c>
      <c r="K46" s="30">
        <v>0</v>
      </c>
      <c r="L46" s="30">
        <v>2521</v>
      </c>
      <c r="M46" s="30">
        <v>44</v>
      </c>
      <c r="N46" s="81">
        <v>0</v>
      </c>
      <c r="O46" s="30">
        <f t="shared" si="6"/>
        <v>7327992.6592417108</v>
      </c>
      <c r="P46" s="30">
        <f t="shared" si="1"/>
        <v>7222441.097521184</v>
      </c>
      <c r="Q46" s="30">
        <f t="shared" si="2"/>
        <v>278308.91752118338</v>
      </c>
      <c r="R46" s="48">
        <f t="shared" si="3"/>
        <v>3.9478213167795248E-2</v>
      </c>
      <c r="V46" s="79"/>
      <c r="W46" s="79"/>
      <c r="AE46" s="2"/>
      <c r="AI46" s="2"/>
      <c r="AM46" s="2"/>
      <c r="AN46" s="72"/>
      <c r="AO46" s="5"/>
      <c r="AP46" s="5"/>
      <c r="AQ46" s="2"/>
      <c r="AR46" s="72"/>
      <c r="AS46" s="5"/>
      <c r="AT46" s="5"/>
      <c r="AU46" s="28"/>
      <c r="AV46" s="28"/>
      <c r="AW46" s="28"/>
    </row>
    <row r="47" spans="1:49" x14ac:dyDescent="0.2">
      <c r="A47" s="2">
        <v>41883</v>
      </c>
      <c r="B47">
        <f t="shared" si="4"/>
        <v>2014</v>
      </c>
      <c r="C47">
        <f t="shared" si="5"/>
        <v>9</v>
      </c>
      <c r="D47" s="88">
        <v>6510451.410000002</v>
      </c>
      <c r="E47" s="88">
        <v>105551.56172052656</v>
      </c>
      <c r="F47" s="88">
        <v>6616002.9717205288</v>
      </c>
      <c r="G47" s="78">
        <v>20.5</v>
      </c>
      <c r="H47" s="78">
        <v>100.89999999999998</v>
      </c>
      <c r="I47" s="78">
        <f t="shared" si="8"/>
        <v>9.9542105263157907</v>
      </c>
      <c r="J47" s="78">
        <f t="shared" si="8"/>
        <v>120.49421052631581</v>
      </c>
      <c r="K47" s="30">
        <v>1</v>
      </c>
      <c r="L47" s="30">
        <v>2528</v>
      </c>
      <c r="M47" s="30">
        <v>45</v>
      </c>
      <c r="N47" s="81">
        <v>0</v>
      </c>
      <c r="O47" s="30">
        <f t="shared" si="6"/>
        <v>6677004.3877725992</v>
      </c>
      <c r="P47" s="30">
        <f t="shared" si="1"/>
        <v>6571452.8260520725</v>
      </c>
      <c r="Q47" s="30">
        <f t="shared" si="2"/>
        <v>61001.416052070446</v>
      </c>
      <c r="R47" s="48">
        <f t="shared" si="3"/>
        <v>9.2202824443724032E-3</v>
      </c>
      <c r="AE47" s="2"/>
      <c r="AI47" s="2"/>
      <c r="AM47" s="2"/>
      <c r="AN47" s="72"/>
      <c r="AO47" s="5"/>
      <c r="AP47" s="5"/>
      <c r="AQ47" s="2"/>
      <c r="AR47" s="72"/>
      <c r="AS47" s="5"/>
      <c r="AT47" s="5"/>
      <c r="AU47" s="28"/>
      <c r="AV47" s="28"/>
    </row>
    <row r="48" spans="1:49" x14ac:dyDescent="0.2">
      <c r="A48" s="2">
        <v>41913</v>
      </c>
      <c r="B48">
        <f t="shared" si="4"/>
        <v>2014</v>
      </c>
      <c r="C48">
        <f t="shared" si="5"/>
        <v>10</v>
      </c>
      <c r="D48" s="88">
        <v>6792373.7300000032</v>
      </c>
      <c r="E48" s="88">
        <v>105551.56172052656</v>
      </c>
      <c r="F48" s="88">
        <v>6897925.29172053</v>
      </c>
      <c r="G48" s="78">
        <v>117.8</v>
      </c>
      <c r="H48" s="78">
        <v>18.800000000000004</v>
      </c>
      <c r="I48" s="78">
        <f t="shared" si="8"/>
        <v>107.70315789473716</v>
      </c>
      <c r="J48" s="78">
        <f t="shared" si="8"/>
        <v>25.808421052631616</v>
      </c>
      <c r="K48" s="30">
        <v>1</v>
      </c>
      <c r="L48" s="30">
        <v>2530</v>
      </c>
      <c r="M48" s="30">
        <v>46</v>
      </c>
      <c r="N48" s="81">
        <v>0</v>
      </c>
      <c r="O48" s="30">
        <f t="shared" si="6"/>
        <v>6897986.7956646681</v>
      </c>
      <c r="P48" s="30">
        <f t="shared" si="1"/>
        <v>6792435.2339441413</v>
      </c>
      <c r="Q48" s="30">
        <f t="shared" si="2"/>
        <v>61.503944138064981</v>
      </c>
      <c r="R48" s="48">
        <f t="shared" si="3"/>
        <v>8.9162960654107374E-6</v>
      </c>
      <c r="AE48" s="2"/>
      <c r="AI48" s="2"/>
      <c r="AM48" s="2"/>
      <c r="AN48" s="72"/>
      <c r="AO48" s="5"/>
      <c r="AP48" s="5"/>
      <c r="AQ48" s="2"/>
      <c r="AR48" s="72"/>
      <c r="AS48" s="5"/>
      <c r="AT48" s="5"/>
      <c r="AU48" s="28"/>
      <c r="AV48" s="28"/>
    </row>
    <row r="49" spans="1:48" x14ac:dyDescent="0.2">
      <c r="A49" s="2">
        <v>41944</v>
      </c>
      <c r="B49">
        <f t="shared" si="4"/>
        <v>2014</v>
      </c>
      <c r="C49">
        <f t="shared" si="5"/>
        <v>11</v>
      </c>
      <c r="D49" s="88">
        <v>7187665.7199999969</v>
      </c>
      <c r="E49" s="88">
        <v>105551.56172052656</v>
      </c>
      <c r="F49" s="88">
        <v>7293217.2817205237</v>
      </c>
      <c r="G49" s="78">
        <v>362.10000000000008</v>
      </c>
      <c r="H49" s="78">
        <v>0</v>
      </c>
      <c r="I49" s="78">
        <f t="shared" si="8"/>
        <v>305.31105263157906</v>
      </c>
      <c r="J49" s="78">
        <f t="shared" si="8"/>
        <v>1.3363157894737014</v>
      </c>
      <c r="K49" s="30">
        <v>1</v>
      </c>
      <c r="L49" s="30">
        <v>2539</v>
      </c>
      <c r="M49" s="30">
        <v>47</v>
      </c>
      <c r="N49" s="81">
        <v>0</v>
      </c>
      <c r="O49" s="30">
        <f t="shared" si="6"/>
        <v>7104498.4950794</v>
      </c>
      <c r="P49" s="30">
        <f t="shared" si="1"/>
        <v>6998946.9333588732</v>
      </c>
      <c r="Q49" s="30">
        <f t="shared" si="2"/>
        <v>-188718.7866411237</v>
      </c>
      <c r="R49" s="48">
        <f t="shared" si="3"/>
        <v>2.5875930930252436E-2</v>
      </c>
      <c r="AE49" s="2"/>
      <c r="AI49" s="2"/>
      <c r="AM49" s="2"/>
      <c r="AN49" s="72"/>
      <c r="AO49" s="5"/>
      <c r="AP49" s="5"/>
      <c r="AQ49" s="2"/>
      <c r="AR49" s="72"/>
      <c r="AS49" s="5"/>
      <c r="AT49" s="5"/>
      <c r="AU49" s="28"/>
      <c r="AV49" s="28"/>
    </row>
    <row r="50" spans="1:48" x14ac:dyDescent="0.2">
      <c r="A50" s="2">
        <v>41974</v>
      </c>
      <c r="B50">
        <f t="shared" si="4"/>
        <v>2014</v>
      </c>
      <c r="C50">
        <f t="shared" si="5"/>
        <v>12</v>
      </c>
      <c r="D50" s="88">
        <v>8927945.1699999962</v>
      </c>
      <c r="E50" s="88">
        <v>105551.56172052656</v>
      </c>
      <c r="F50" s="88">
        <v>9033496.731720522</v>
      </c>
      <c r="G50" s="78">
        <v>433.30000000000007</v>
      </c>
      <c r="H50" s="78">
        <v>0</v>
      </c>
      <c r="I50" s="78">
        <f t="shared" si="8"/>
        <v>437.78421052631529</v>
      </c>
      <c r="J50" s="78">
        <f t="shared" si="8"/>
        <v>0</v>
      </c>
      <c r="K50" s="30">
        <v>0</v>
      </c>
      <c r="L50" s="30">
        <v>2544</v>
      </c>
      <c r="M50" s="30">
        <v>48</v>
      </c>
      <c r="N50" s="81">
        <v>0</v>
      </c>
      <c r="O50" s="30">
        <f t="shared" si="6"/>
        <v>9048922.3506976776</v>
      </c>
      <c r="P50" s="30">
        <f t="shared" si="1"/>
        <v>8943370.7889771517</v>
      </c>
      <c r="Q50" s="30">
        <f t="shared" si="2"/>
        <v>15425.618977155536</v>
      </c>
      <c r="R50" s="48">
        <f t="shared" si="3"/>
        <v>1.707602209340432E-3</v>
      </c>
      <c r="AE50" s="2"/>
      <c r="AI50" s="2"/>
      <c r="AM50" s="2"/>
      <c r="AN50" s="72"/>
      <c r="AO50" s="5"/>
      <c r="AP50" s="5"/>
      <c r="AQ50" s="2"/>
      <c r="AR50" s="72"/>
      <c r="AS50" s="5"/>
      <c r="AT50" s="5"/>
      <c r="AU50" s="28"/>
      <c r="AV50" s="28"/>
    </row>
    <row r="51" spans="1:48" x14ac:dyDescent="0.2">
      <c r="A51" s="2">
        <v>42005</v>
      </c>
      <c r="B51">
        <f t="shared" si="4"/>
        <v>2015</v>
      </c>
      <c r="C51">
        <f t="shared" si="5"/>
        <v>1</v>
      </c>
      <c r="D51" s="88">
        <v>8967430.3132530134</v>
      </c>
      <c r="E51" s="88">
        <v>194937.46716045527</v>
      </c>
      <c r="F51" s="88">
        <v>9162367.7804134693</v>
      </c>
      <c r="G51" s="78">
        <v>668.39999999999986</v>
      </c>
      <c r="H51" s="78">
        <v>0</v>
      </c>
      <c r="I51" s="78">
        <f t="shared" ref="I51:J66" si="9">I63</f>
        <v>557.82052631578927</v>
      </c>
      <c r="J51" s="78">
        <f t="shared" si="9"/>
        <v>0</v>
      </c>
      <c r="K51" s="30">
        <v>0</v>
      </c>
      <c r="L51" s="30">
        <v>2548</v>
      </c>
      <c r="M51" s="30">
        <v>49</v>
      </c>
      <c r="N51" s="81">
        <v>0</v>
      </c>
      <c r="O51" s="30">
        <f t="shared" si="6"/>
        <v>8781975.999577811</v>
      </c>
      <c r="P51" s="30">
        <f t="shared" si="1"/>
        <v>8587038.5324173551</v>
      </c>
      <c r="Q51" s="30">
        <f t="shared" si="2"/>
        <v>-380391.78083565831</v>
      </c>
      <c r="R51" s="48">
        <f t="shared" si="3"/>
        <v>4.1516755270272772E-2</v>
      </c>
      <c r="V51" s="79"/>
      <c r="AE51" s="2"/>
      <c r="AI51" s="2"/>
      <c r="AM51" s="2"/>
      <c r="AN51" s="72"/>
      <c r="AO51" s="5"/>
      <c r="AP51" s="5"/>
      <c r="AQ51" s="2"/>
      <c r="AR51" s="72"/>
      <c r="AS51" s="5"/>
      <c r="AT51" s="5"/>
      <c r="AU51" s="28"/>
      <c r="AV51" s="28"/>
    </row>
    <row r="52" spans="1:48" x14ac:dyDescent="0.2">
      <c r="A52" s="2">
        <v>42036</v>
      </c>
      <c r="B52">
        <f t="shared" si="4"/>
        <v>2015</v>
      </c>
      <c r="C52">
        <f t="shared" si="5"/>
        <v>2</v>
      </c>
      <c r="D52" s="88">
        <v>8632890.5734939743</v>
      </c>
      <c r="E52" s="88">
        <v>194937.46716045527</v>
      </c>
      <c r="F52" s="88">
        <v>8827828.0406544302</v>
      </c>
      <c r="G52" s="78">
        <v>744.79999999999984</v>
      </c>
      <c r="H52" s="78">
        <v>0</v>
      </c>
      <c r="I52" s="78">
        <f t="shared" si="9"/>
        <v>513.95684210526292</v>
      </c>
      <c r="J52" s="78">
        <f t="shared" si="9"/>
        <v>0</v>
      </c>
      <c r="K52" s="30">
        <v>0</v>
      </c>
      <c r="L52" s="30">
        <v>2555</v>
      </c>
      <c r="M52" s="30">
        <v>50</v>
      </c>
      <c r="N52" s="81">
        <v>0</v>
      </c>
      <c r="O52" s="30">
        <f t="shared" si="6"/>
        <v>8033730.9356521638</v>
      </c>
      <c r="P52" s="30">
        <f t="shared" si="1"/>
        <v>7838793.4684917089</v>
      </c>
      <c r="Q52" s="30">
        <f t="shared" si="2"/>
        <v>-794097.10500226635</v>
      </c>
      <c r="R52" s="48">
        <f t="shared" si="3"/>
        <v>8.9953848369637907E-2</v>
      </c>
      <c r="V52" s="79"/>
      <c r="AE52" s="2"/>
      <c r="AI52" s="2"/>
      <c r="AM52" s="2"/>
      <c r="AN52" s="72"/>
      <c r="AO52" s="5"/>
      <c r="AP52" s="5"/>
      <c r="AQ52" s="2"/>
      <c r="AR52" s="72"/>
      <c r="AS52" s="5"/>
      <c r="AT52" s="5"/>
      <c r="AU52" s="28"/>
      <c r="AV52" s="28"/>
    </row>
    <row r="53" spans="1:48" x14ac:dyDescent="0.2">
      <c r="A53" s="2">
        <v>42064</v>
      </c>
      <c r="B53">
        <f t="shared" si="4"/>
        <v>2015</v>
      </c>
      <c r="C53">
        <f t="shared" si="5"/>
        <v>3</v>
      </c>
      <c r="D53" s="88">
        <v>8240875.3638554187</v>
      </c>
      <c r="E53" s="88">
        <v>194937.46716045527</v>
      </c>
      <c r="F53" s="88">
        <v>8435812.8310158737</v>
      </c>
      <c r="G53" s="78">
        <v>491.5</v>
      </c>
      <c r="H53" s="78">
        <v>0</v>
      </c>
      <c r="I53" s="78">
        <f t="shared" si="9"/>
        <v>400.06210526315817</v>
      </c>
      <c r="J53" s="78">
        <f t="shared" si="9"/>
        <v>0.74263157894736409</v>
      </c>
      <c r="K53" s="30">
        <v>0</v>
      </c>
      <c r="L53" s="30">
        <v>2553</v>
      </c>
      <c r="M53" s="30">
        <v>51</v>
      </c>
      <c r="N53" s="81">
        <v>0</v>
      </c>
      <c r="O53" s="30">
        <f t="shared" si="6"/>
        <v>8124954.7236137604</v>
      </c>
      <c r="P53" s="30">
        <f t="shared" si="1"/>
        <v>7930017.2564533055</v>
      </c>
      <c r="Q53" s="30">
        <f t="shared" si="2"/>
        <v>-310858.10740211327</v>
      </c>
      <c r="R53" s="48">
        <f t="shared" si="3"/>
        <v>3.6849810875270277E-2</v>
      </c>
      <c r="AE53" s="2"/>
      <c r="AI53" s="2"/>
      <c r="AM53" s="2"/>
      <c r="AN53" s="72"/>
      <c r="AO53" s="5"/>
      <c r="AP53" s="5"/>
      <c r="AQ53" s="2"/>
      <c r="AR53" s="72"/>
      <c r="AS53" s="5"/>
      <c r="AT53" s="5"/>
      <c r="AU53" s="28"/>
      <c r="AV53" s="28"/>
    </row>
    <row r="54" spans="1:48" x14ac:dyDescent="0.2">
      <c r="A54" s="2">
        <v>42095</v>
      </c>
      <c r="B54">
        <f t="shared" si="4"/>
        <v>2015</v>
      </c>
      <c r="C54">
        <f t="shared" si="5"/>
        <v>4</v>
      </c>
      <c r="D54" s="88">
        <v>7175293.9469879493</v>
      </c>
      <c r="E54" s="88">
        <v>194937.46716045527</v>
      </c>
      <c r="F54" s="88">
        <v>7370231.4141484043</v>
      </c>
      <c r="G54" s="78">
        <v>195.89999999999998</v>
      </c>
      <c r="H54" s="78">
        <v>2.1999999999999993</v>
      </c>
      <c r="I54" s="78">
        <f t="shared" si="9"/>
        <v>225.72052631578936</v>
      </c>
      <c r="J54" s="78">
        <f t="shared" si="9"/>
        <v>0</v>
      </c>
      <c r="K54" s="30">
        <v>0</v>
      </c>
      <c r="L54" s="30">
        <v>2549</v>
      </c>
      <c r="M54" s="30">
        <v>52</v>
      </c>
      <c r="N54" s="81">
        <v>0</v>
      </c>
      <c r="O54" s="30">
        <f t="shared" si="6"/>
        <v>7461891.3180716345</v>
      </c>
      <c r="P54" s="30">
        <f t="shared" si="1"/>
        <v>7266953.8509111796</v>
      </c>
      <c r="Q54" s="30">
        <f t="shared" si="2"/>
        <v>91659.903923230246</v>
      </c>
      <c r="R54" s="48">
        <f t="shared" si="3"/>
        <v>1.243650284131833E-2</v>
      </c>
      <c r="AE54" s="2"/>
      <c r="AI54" s="2"/>
      <c r="AM54" s="2"/>
      <c r="AN54" s="72"/>
      <c r="AO54" s="5"/>
      <c r="AP54" s="5"/>
      <c r="AQ54" s="2"/>
      <c r="AR54" s="72"/>
      <c r="AS54" s="5"/>
      <c r="AT54" s="5"/>
      <c r="AU54" s="28"/>
      <c r="AV54" s="28"/>
    </row>
    <row r="55" spans="1:48" x14ac:dyDescent="0.2">
      <c r="A55" s="2">
        <v>42125</v>
      </c>
      <c r="B55">
        <f t="shared" si="4"/>
        <v>2015</v>
      </c>
      <c r="C55">
        <f t="shared" si="5"/>
        <v>5</v>
      </c>
      <c r="D55" s="88">
        <v>6882245.3012048155</v>
      </c>
      <c r="E55" s="88">
        <v>194937.46716045527</v>
      </c>
      <c r="F55" s="88">
        <v>7077182.7683652705</v>
      </c>
      <c r="G55" s="78">
        <v>31.1</v>
      </c>
      <c r="H55" s="78">
        <v>99.9</v>
      </c>
      <c r="I55" s="78">
        <f t="shared" si="9"/>
        <v>59.688947368421054</v>
      </c>
      <c r="J55" s="78">
        <f t="shared" si="9"/>
        <v>80.273684210525971</v>
      </c>
      <c r="K55" s="30">
        <v>0</v>
      </c>
      <c r="L55" s="30">
        <v>2546</v>
      </c>
      <c r="M55" s="30">
        <v>53</v>
      </c>
      <c r="N55" s="81">
        <v>0</v>
      </c>
      <c r="O55" s="30">
        <f t="shared" si="6"/>
        <v>7078090.1609717701</v>
      </c>
      <c r="P55" s="30">
        <f t="shared" si="1"/>
        <v>6883152.6938113151</v>
      </c>
      <c r="Q55" s="30">
        <f t="shared" si="2"/>
        <v>907.39260649960488</v>
      </c>
      <c r="R55" s="48">
        <f t="shared" si="3"/>
        <v>1.282138156097387E-4</v>
      </c>
      <c r="AE55" s="2"/>
      <c r="AI55" s="2"/>
      <c r="AM55" s="2"/>
      <c r="AN55" s="72"/>
      <c r="AO55" s="5"/>
      <c r="AP55" s="5"/>
      <c r="AQ55" s="2"/>
      <c r="AR55" s="72"/>
      <c r="AS55" s="5"/>
      <c r="AT55" s="5"/>
      <c r="AU55" s="28"/>
      <c r="AV55" s="28"/>
    </row>
    <row r="56" spans="1:48" x14ac:dyDescent="0.2">
      <c r="A56" s="2">
        <v>42156</v>
      </c>
      <c r="B56">
        <f t="shared" si="4"/>
        <v>2015</v>
      </c>
      <c r="C56">
        <f t="shared" si="5"/>
        <v>6</v>
      </c>
      <c r="D56" s="88">
        <v>6719082.4385542162</v>
      </c>
      <c r="E56" s="88">
        <v>194937.46716045527</v>
      </c>
      <c r="F56" s="88">
        <v>6914019.9057146711</v>
      </c>
      <c r="G56" s="78">
        <v>2.9999999999999982</v>
      </c>
      <c r="H56" s="78">
        <v>121.5</v>
      </c>
      <c r="I56" s="78">
        <f t="shared" si="9"/>
        <v>1.08894736842106</v>
      </c>
      <c r="J56" s="78">
        <f t="shared" si="9"/>
        <v>177.38052631578967</v>
      </c>
      <c r="K56" s="30">
        <v>0</v>
      </c>
      <c r="L56" s="30">
        <v>2547</v>
      </c>
      <c r="M56" s="30">
        <v>54</v>
      </c>
      <c r="N56" s="81">
        <v>0</v>
      </c>
      <c r="O56" s="30">
        <f t="shared" si="6"/>
        <v>7184874.2544022901</v>
      </c>
      <c r="P56" s="30">
        <f t="shared" si="1"/>
        <v>6989936.7872418351</v>
      </c>
      <c r="Q56" s="30">
        <f t="shared" si="2"/>
        <v>270854.34868761897</v>
      </c>
      <c r="R56" s="48">
        <f t="shared" si="3"/>
        <v>3.9174655610081294E-2</v>
      </c>
      <c r="AE56" s="2"/>
      <c r="AI56" s="2"/>
      <c r="AM56" s="2"/>
      <c r="AN56" s="72"/>
      <c r="AO56" s="5"/>
      <c r="AP56" s="5"/>
      <c r="AQ56" s="2"/>
      <c r="AR56" s="72"/>
      <c r="AS56" s="5"/>
      <c r="AT56" s="5"/>
      <c r="AU56" s="28"/>
      <c r="AV56" s="28"/>
    </row>
    <row r="57" spans="1:48" x14ac:dyDescent="0.2">
      <c r="A57" s="2">
        <v>42186</v>
      </c>
      <c r="B57">
        <f t="shared" si="4"/>
        <v>2015</v>
      </c>
      <c r="C57">
        <f t="shared" si="5"/>
        <v>7</v>
      </c>
      <c r="D57" s="88">
        <v>7642373.2048192788</v>
      </c>
      <c r="E57" s="88">
        <v>194937.46716045527</v>
      </c>
      <c r="F57" s="88">
        <v>7837310.6719797337</v>
      </c>
      <c r="G57" s="78">
        <v>0</v>
      </c>
      <c r="H57" s="78">
        <v>234.3</v>
      </c>
      <c r="I57" s="78">
        <f t="shared" si="9"/>
        <v>0</v>
      </c>
      <c r="J57" s="78">
        <f t="shared" si="9"/>
        <v>273.7568421052631</v>
      </c>
      <c r="K57" s="30">
        <v>0</v>
      </c>
      <c r="L57" s="30">
        <v>2538</v>
      </c>
      <c r="M57" s="30">
        <v>55</v>
      </c>
      <c r="N57" s="81">
        <v>0</v>
      </c>
      <c r="O57" s="30">
        <f t="shared" si="6"/>
        <v>8033200.8506364608</v>
      </c>
      <c r="P57" s="30">
        <f t="shared" si="1"/>
        <v>7838263.3834760059</v>
      </c>
      <c r="Q57" s="30">
        <f t="shared" si="2"/>
        <v>195890.17865672708</v>
      </c>
      <c r="R57" s="48">
        <f t="shared" si="3"/>
        <v>2.4994565974918091E-2</v>
      </c>
      <c r="AE57" s="2"/>
      <c r="AI57" s="2"/>
      <c r="AM57" s="2"/>
      <c r="AN57" s="72"/>
      <c r="AO57" s="5"/>
      <c r="AP57" s="5"/>
      <c r="AQ57" s="2"/>
      <c r="AR57" s="72"/>
      <c r="AS57" s="5"/>
      <c r="AT57" s="5"/>
      <c r="AU57" s="28"/>
      <c r="AV57" s="28"/>
    </row>
    <row r="58" spans="1:48" x14ac:dyDescent="0.2">
      <c r="A58" s="2">
        <v>42217</v>
      </c>
      <c r="B58">
        <f t="shared" si="4"/>
        <v>2015</v>
      </c>
      <c r="C58">
        <f t="shared" si="5"/>
        <v>8</v>
      </c>
      <c r="D58" s="88">
        <v>7190501.1855421662</v>
      </c>
      <c r="E58" s="88">
        <v>194937.46716045527</v>
      </c>
      <c r="F58" s="88">
        <v>7385438.6527026212</v>
      </c>
      <c r="G58" s="78">
        <v>0</v>
      </c>
      <c r="H58" s="78">
        <v>208.20000000000002</v>
      </c>
      <c r="I58" s="78">
        <f t="shared" si="9"/>
        <v>0</v>
      </c>
      <c r="J58" s="78">
        <f t="shared" si="9"/>
        <v>253.05789473684217</v>
      </c>
      <c r="K58" s="30">
        <v>0</v>
      </c>
      <c r="L58" s="30">
        <v>2537</v>
      </c>
      <c r="M58" s="30">
        <v>56</v>
      </c>
      <c r="N58" s="81">
        <v>0</v>
      </c>
      <c r="O58" s="30">
        <f t="shared" si="6"/>
        <v>7608143.2723658495</v>
      </c>
      <c r="P58" s="30">
        <f t="shared" si="1"/>
        <v>7413205.8052053945</v>
      </c>
      <c r="Q58" s="30">
        <f t="shared" si="2"/>
        <v>222704.61966322828</v>
      </c>
      <c r="R58" s="48">
        <f t="shared" si="3"/>
        <v>3.0154555488959608E-2</v>
      </c>
      <c r="AE58" s="2"/>
      <c r="AI58" s="2"/>
      <c r="AM58" s="2"/>
      <c r="AN58" s="72"/>
      <c r="AO58" s="5"/>
      <c r="AP58" s="5"/>
      <c r="AQ58" s="2"/>
      <c r="AR58" s="72"/>
      <c r="AS58" s="5"/>
      <c r="AT58" s="5"/>
      <c r="AU58" s="28"/>
      <c r="AV58" s="28"/>
    </row>
    <row r="59" spans="1:48" x14ac:dyDescent="0.2">
      <c r="A59" s="2">
        <v>42248</v>
      </c>
      <c r="B59">
        <f t="shared" si="4"/>
        <v>2015</v>
      </c>
      <c r="C59">
        <f t="shared" si="5"/>
        <v>9</v>
      </c>
      <c r="D59" s="88">
        <v>7066672.2313253004</v>
      </c>
      <c r="E59" s="88">
        <v>194937.46716045527</v>
      </c>
      <c r="F59" s="88">
        <v>7261609.6984857554</v>
      </c>
      <c r="G59" s="78">
        <v>3.2999999999999989</v>
      </c>
      <c r="H59" s="78">
        <v>174.09999999999997</v>
      </c>
      <c r="I59" s="78">
        <f t="shared" si="9"/>
        <v>9.9542105263157907</v>
      </c>
      <c r="J59" s="78">
        <f t="shared" si="9"/>
        <v>120.49421052631581</v>
      </c>
      <c r="K59" s="30">
        <v>1</v>
      </c>
      <c r="L59" s="30">
        <v>2544</v>
      </c>
      <c r="M59" s="30">
        <v>57</v>
      </c>
      <c r="N59" s="81">
        <v>0</v>
      </c>
      <c r="O59" s="30">
        <f t="shared" si="6"/>
        <v>7018365.0604661014</v>
      </c>
      <c r="P59" s="30">
        <f t="shared" si="1"/>
        <v>6823427.5933056464</v>
      </c>
      <c r="Q59" s="30">
        <f t="shared" si="2"/>
        <v>-243244.63801965397</v>
      </c>
      <c r="R59" s="48">
        <f t="shared" si="3"/>
        <v>3.3497343993904978E-2</v>
      </c>
      <c r="AE59" s="2"/>
      <c r="AI59" s="2"/>
      <c r="AM59" s="2"/>
      <c r="AN59" s="72"/>
      <c r="AO59" s="5"/>
      <c r="AP59" s="5"/>
      <c r="AQ59" s="2"/>
      <c r="AR59" s="72"/>
      <c r="AS59" s="5"/>
      <c r="AT59" s="5"/>
      <c r="AU59" s="28"/>
      <c r="AV59" s="28"/>
    </row>
    <row r="60" spans="1:48" x14ac:dyDescent="0.2">
      <c r="A60" s="2">
        <v>42278</v>
      </c>
      <c r="B60">
        <f t="shared" si="4"/>
        <v>2015</v>
      </c>
      <c r="C60">
        <f t="shared" si="5"/>
        <v>10</v>
      </c>
      <c r="D60" s="88">
        <v>6796226.5349397603</v>
      </c>
      <c r="E60" s="88">
        <v>194937.46716045527</v>
      </c>
      <c r="F60" s="88">
        <v>6991164.0021002153</v>
      </c>
      <c r="G60" s="78">
        <v>135.30000000000001</v>
      </c>
      <c r="H60" s="78">
        <v>9.4999999999999982</v>
      </c>
      <c r="I60" s="78">
        <f t="shared" si="9"/>
        <v>107.70315789473716</v>
      </c>
      <c r="J60" s="78">
        <f t="shared" si="9"/>
        <v>25.808421052631616</v>
      </c>
      <c r="K60" s="30">
        <v>1</v>
      </c>
      <c r="L60" s="30">
        <v>2557</v>
      </c>
      <c r="M60" s="30">
        <v>58</v>
      </c>
      <c r="N60" s="81">
        <v>0</v>
      </c>
      <c r="O60" s="30">
        <f t="shared" si="6"/>
        <v>6977197.1865228433</v>
      </c>
      <c r="P60" s="30">
        <f t="shared" si="1"/>
        <v>6782259.7193623884</v>
      </c>
      <c r="Q60" s="30">
        <f t="shared" si="2"/>
        <v>-13966.815577371977</v>
      </c>
      <c r="R60" s="48">
        <f t="shared" si="3"/>
        <v>1.9977811381876047E-3</v>
      </c>
      <c r="AE60" s="2"/>
      <c r="AI60" s="2"/>
      <c r="AM60" s="2"/>
      <c r="AN60" s="72"/>
      <c r="AO60" s="5"/>
      <c r="AP60" s="5"/>
      <c r="AQ60" s="2"/>
      <c r="AR60" s="72"/>
      <c r="AS60" s="5"/>
      <c r="AT60" s="5"/>
      <c r="AU60" s="28"/>
      <c r="AV60" s="28"/>
    </row>
    <row r="61" spans="1:48" x14ac:dyDescent="0.2">
      <c r="A61" s="2">
        <v>42309</v>
      </c>
      <c r="B61">
        <f t="shared" si="4"/>
        <v>2015</v>
      </c>
      <c r="C61">
        <f t="shared" si="5"/>
        <v>11</v>
      </c>
      <c r="D61" s="88">
        <v>6323671.9614457851</v>
      </c>
      <c r="E61" s="88">
        <v>194937.46716045527</v>
      </c>
      <c r="F61" s="88">
        <v>6518609.4286062401</v>
      </c>
      <c r="G61" s="78">
        <v>227.2</v>
      </c>
      <c r="H61" s="78">
        <v>2.1999999999999993</v>
      </c>
      <c r="I61" s="78">
        <f t="shared" si="9"/>
        <v>305.31105263157906</v>
      </c>
      <c r="J61" s="78">
        <f t="shared" si="9"/>
        <v>1.3363157894737014</v>
      </c>
      <c r="K61" s="30">
        <v>1</v>
      </c>
      <c r="L61" s="30">
        <v>2574</v>
      </c>
      <c r="M61" s="30">
        <v>59</v>
      </c>
      <c r="N61" s="81">
        <v>0</v>
      </c>
      <c r="O61" s="30">
        <f t="shared" si="6"/>
        <v>6783022.4067344163</v>
      </c>
      <c r="P61" s="30">
        <f t="shared" si="1"/>
        <v>6588084.9395739613</v>
      </c>
      <c r="Q61" s="30">
        <f t="shared" si="2"/>
        <v>264412.97812817618</v>
      </c>
      <c r="R61" s="48">
        <f t="shared" si="3"/>
        <v>4.0562788892954268E-2</v>
      </c>
      <c r="AE61" s="2"/>
      <c r="AN61" s="5"/>
      <c r="AO61" s="5"/>
      <c r="AP61" s="5"/>
      <c r="AQ61" s="5"/>
      <c r="AR61" s="5"/>
      <c r="AS61" s="5"/>
      <c r="AU61" s="28"/>
      <c r="AV61" s="28"/>
    </row>
    <row r="62" spans="1:48" x14ac:dyDescent="0.2">
      <c r="A62" s="2">
        <v>42339</v>
      </c>
      <c r="B62">
        <f t="shared" si="4"/>
        <v>2015</v>
      </c>
      <c r="C62">
        <f t="shared" si="5"/>
        <v>12</v>
      </c>
      <c r="D62" s="88">
        <v>6695925.5710843336</v>
      </c>
      <c r="E62" s="88">
        <v>194937.46716045527</v>
      </c>
      <c r="F62" s="88">
        <v>6890863.0382447885</v>
      </c>
      <c r="G62" s="78">
        <v>305.7</v>
      </c>
      <c r="H62" s="78">
        <v>0</v>
      </c>
      <c r="I62" s="78">
        <f t="shared" si="9"/>
        <v>437.78421052631529</v>
      </c>
      <c r="J62" s="78">
        <f t="shared" si="9"/>
        <v>0</v>
      </c>
      <c r="K62" s="30">
        <v>0</v>
      </c>
      <c r="L62" s="30">
        <v>2574</v>
      </c>
      <c r="M62" s="30">
        <v>60</v>
      </c>
      <c r="N62" s="81">
        <v>0</v>
      </c>
      <c r="O62" s="30">
        <f t="shared" si="6"/>
        <v>7345230.8009804077</v>
      </c>
      <c r="P62" s="30">
        <f t="shared" si="1"/>
        <v>7150293.3338199528</v>
      </c>
      <c r="Q62" s="30">
        <f t="shared" si="2"/>
        <v>454367.76273561921</v>
      </c>
      <c r="R62" s="48">
        <f t="shared" si="3"/>
        <v>6.5937714944245052E-2</v>
      </c>
      <c r="AE62" s="2"/>
      <c r="AN62" s="5"/>
      <c r="AO62" s="5"/>
      <c r="AP62" s="5"/>
      <c r="AQ62" s="5"/>
      <c r="AR62" s="5"/>
    </row>
    <row r="63" spans="1:48" x14ac:dyDescent="0.2">
      <c r="A63" s="2">
        <v>42370</v>
      </c>
      <c r="B63">
        <f t="shared" si="4"/>
        <v>2016</v>
      </c>
      <c r="C63">
        <f t="shared" si="5"/>
        <v>1</v>
      </c>
      <c r="D63" s="88">
        <v>8357389.1277108472</v>
      </c>
      <c r="E63" s="88">
        <v>331866.97414415696</v>
      </c>
      <c r="F63" s="88">
        <v>8689256.1018550042</v>
      </c>
      <c r="G63" s="78">
        <v>546.4</v>
      </c>
      <c r="H63" s="78">
        <v>0</v>
      </c>
      <c r="I63" s="78">
        <f t="shared" si="9"/>
        <v>557.82052631578927</v>
      </c>
      <c r="J63" s="78">
        <f t="shared" si="9"/>
        <v>0</v>
      </c>
      <c r="K63" s="30">
        <v>0</v>
      </c>
      <c r="L63" s="30">
        <v>2571</v>
      </c>
      <c r="M63" s="30">
        <v>61</v>
      </c>
      <c r="N63" s="81">
        <v>0</v>
      </c>
      <c r="O63" s="30">
        <f t="shared" si="6"/>
        <v>8728542.5462429542</v>
      </c>
      <c r="P63" s="30">
        <f t="shared" si="1"/>
        <v>8396675.5720987972</v>
      </c>
      <c r="Q63" s="30">
        <f t="shared" si="2"/>
        <v>39286.444387950003</v>
      </c>
      <c r="R63" s="48">
        <f t="shared" si="3"/>
        <v>4.5212667145997729E-3</v>
      </c>
    </row>
    <row r="64" spans="1:48" x14ac:dyDescent="0.2">
      <c r="A64" s="2">
        <v>42401</v>
      </c>
      <c r="B64">
        <f t="shared" si="4"/>
        <v>2016</v>
      </c>
      <c r="C64">
        <f t="shared" si="5"/>
        <v>2</v>
      </c>
      <c r="D64" s="88">
        <v>8192805.8506024061</v>
      </c>
      <c r="E64" s="88">
        <v>331866.97414415696</v>
      </c>
      <c r="F64" s="88">
        <v>8524672.8247465622</v>
      </c>
      <c r="G64" s="78">
        <v>472.40000000000009</v>
      </c>
      <c r="H64" s="78">
        <v>0</v>
      </c>
      <c r="I64" s="78">
        <f t="shared" si="9"/>
        <v>513.95684210526292</v>
      </c>
      <c r="J64" s="78">
        <f t="shared" si="9"/>
        <v>0</v>
      </c>
      <c r="K64" s="30">
        <v>0</v>
      </c>
      <c r="L64" s="30">
        <v>2577</v>
      </c>
      <c r="M64" s="30">
        <v>62</v>
      </c>
      <c r="N64" s="81">
        <v>0</v>
      </c>
      <c r="O64" s="30">
        <f t="shared" si="6"/>
        <v>8667627.7570468448</v>
      </c>
      <c r="P64" s="30">
        <f t="shared" si="1"/>
        <v>8335760.7829026878</v>
      </c>
      <c r="Q64" s="30">
        <f t="shared" si="2"/>
        <v>142954.93230028264</v>
      </c>
      <c r="R64" s="48">
        <f t="shared" si="3"/>
        <v>1.6769550602023564E-2</v>
      </c>
    </row>
    <row r="65" spans="1:18" x14ac:dyDescent="0.2">
      <c r="A65" s="2">
        <v>42430</v>
      </c>
      <c r="B65">
        <f t="shared" si="4"/>
        <v>2016</v>
      </c>
      <c r="C65">
        <f t="shared" si="5"/>
        <v>3</v>
      </c>
      <c r="D65" s="88">
        <v>7702210.1783132562</v>
      </c>
      <c r="E65" s="88">
        <v>331866.97414415696</v>
      </c>
      <c r="F65" s="88">
        <v>8034077.1524574133</v>
      </c>
      <c r="G65" s="78">
        <v>352.09999999999985</v>
      </c>
      <c r="H65" s="78">
        <v>0</v>
      </c>
      <c r="I65" s="78">
        <f t="shared" si="9"/>
        <v>400.06210526315817</v>
      </c>
      <c r="J65" s="78">
        <f t="shared" si="9"/>
        <v>0.74263157894736409</v>
      </c>
      <c r="K65" s="30">
        <v>0</v>
      </c>
      <c r="L65" s="30">
        <v>2605</v>
      </c>
      <c r="M65" s="30">
        <v>63</v>
      </c>
      <c r="N65" s="81">
        <v>0</v>
      </c>
      <c r="O65" s="30">
        <f t="shared" si="6"/>
        <v>8202753.0171550633</v>
      </c>
      <c r="P65" s="30">
        <f t="shared" si="1"/>
        <v>7870886.0430109063</v>
      </c>
      <c r="Q65" s="30">
        <f t="shared" si="2"/>
        <v>168675.86469765007</v>
      </c>
      <c r="R65" s="48">
        <f t="shared" si="3"/>
        <v>2.0995051640256723E-2</v>
      </c>
    </row>
    <row r="66" spans="1:18" x14ac:dyDescent="0.2">
      <c r="A66" s="2">
        <v>42461</v>
      </c>
      <c r="B66">
        <f t="shared" si="4"/>
        <v>2016</v>
      </c>
      <c r="C66">
        <f t="shared" si="5"/>
        <v>4</v>
      </c>
      <c r="D66" s="88">
        <v>7574603.3349397629</v>
      </c>
      <c r="E66" s="88">
        <v>331866.97414415696</v>
      </c>
      <c r="F66" s="88">
        <v>7906470.30908392</v>
      </c>
      <c r="G66" s="78">
        <v>277.10000000000008</v>
      </c>
      <c r="H66" s="78">
        <v>2.3000000000000007</v>
      </c>
      <c r="I66" s="78">
        <f t="shared" si="9"/>
        <v>225.72052631578936</v>
      </c>
      <c r="J66" s="78">
        <f t="shared" si="9"/>
        <v>0</v>
      </c>
      <c r="K66" s="30">
        <v>0</v>
      </c>
      <c r="L66" s="30">
        <v>2601</v>
      </c>
      <c r="M66" s="30">
        <v>64</v>
      </c>
      <c r="N66" s="81">
        <v>0</v>
      </c>
      <c r="O66" s="30">
        <f t="shared" si="6"/>
        <v>7718306.9273066046</v>
      </c>
      <c r="P66" s="30">
        <f t="shared" si="1"/>
        <v>7386439.9531624475</v>
      </c>
      <c r="Q66" s="30">
        <f t="shared" si="2"/>
        <v>-188163.3817773154</v>
      </c>
      <c r="R66" s="48">
        <f t="shared" si="3"/>
        <v>2.3798657861413872E-2</v>
      </c>
    </row>
    <row r="67" spans="1:18" x14ac:dyDescent="0.2">
      <c r="A67" s="2">
        <v>42491</v>
      </c>
      <c r="B67">
        <f t="shared" si="4"/>
        <v>2016</v>
      </c>
      <c r="C67">
        <f t="shared" si="5"/>
        <v>5</v>
      </c>
      <c r="D67" s="88">
        <v>6410930.6313253017</v>
      </c>
      <c r="E67" s="88">
        <v>331866.97414415696</v>
      </c>
      <c r="F67" s="88">
        <v>6742797.6054694587</v>
      </c>
      <c r="G67" s="78">
        <v>66.599999999999994</v>
      </c>
      <c r="H67" s="78">
        <v>85</v>
      </c>
      <c r="I67" s="78">
        <f t="shared" ref="I67:J82" si="10">I79</f>
        <v>59.688947368421054</v>
      </c>
      <c r="J67" s="78">
        <f t="shared" si="10"/>
        <v>80.273684210525971</v>
      </c>
      <c r="K67" s="30">
        <v>0</v>
      </c>
      <c r="L67" s="30">
        <v>2598</v>
      </c>
      <c r="M67" s="30">
        <v>65</v>
      </c>
      <c r="N67" s="81">
        <v>0</v>
      </c>
      <c r="O67" s="30">
        <f t="shared" si="6"/>
        <v>6695559.08933568</v>
      </c>
      <c r="P67" s="30">
        <f t="shared" ref="P67:P130" si="11">O67-E67</f>
        <v>6363692.115191523</v>
      </c>
      <c r="Q67" s="30">
        <f t="shared" ref="Q67:Q130" si="12">+O67-F67</f>
        <v>-47238.516133778729</v>
      </c>
      <c r="R67" s="48">
        <f t="shared" ref="R67:R130" si="13">ABS(Q67/F67)</f>
        <v>7.0057739973480642E-3</v>
      </c>
    </row>
    <row r="68" spans="1:18" x14ac:dyDescent="0.2">
      <c r="A68" s="2">
        <v>42522</v>
      </c>
      <c r="B68">
        <f t="shared" ref="B68:B131" si="14">YEAR(A68)</f>
        <v>2016</v>
      </c>
      <c r="C68">
        <f t="shared" ref="C68:C131" si="15">MONTH(A68)</f>
        <v>6</v>
      </c>
      <c r="D68" s="88">
        <v>7343347.5469879536</v>
      </c>
      <c r="E68" s="88">
        <v>331866.97414415696</v>
      </c>
      <c r="F68" s="88">
        <v>7675214.5211321106</v>
      </c>
      <c r="G68" s="78">
        <v>3.0999999999999996</v>
      </c>
      <c r="H68" s="78">
        <v>182.6</v>
      </c>
      <c r="I68" s="78">
        <f t="shared" si="10"/>
        <v>1.08894736842106</v>
      </c>
      <c r="J68" s="78">
        <f t="shared" si="10"/>
        <v>177.38052631578967</v>
      </c>
      <c r="K68" s="30">
        <v>0</v>
      </c>
      <c r="L68" s="30">
        <v>2602</v>
      </c>
      <c r="M68" s="30">
        <v>66</v>
      </c>
      <c r="N68" s="81">
        <v>0</v>
      </c>
      <c r="O68" s="30">
        <f t="shared" ref="O68:O131" si="16">F68+(I68-G68)*$T$20+(J68-H68)*$T$21</f>
        <v>7642383.5677815154</v>
      </c>
      <c r="P68" s="30">
        <f t="shared" si="11"/>
        <v>7310516.5936373584</v>
      </c>
      <c r="Q68" s="30">
        <f t="shared" si="12"/>
        <v>-32830.953350595199</v>
      </c>
      <c r="R68" s="48">
        <f t="shared" si="13"/>
        <v>4.2775290853697941E-3</v>
      </c>
    </row>
    <row r="69" spans="1:18" x14ac:dyDescent="0.2">
      <c r="A69" s="2">
        <v>42552</v>
      </c>
      <c r="B69">
        <f t="shared" si="14"/>
        <v>2016</v>
      </c>
      <c r="C69">
        <f t="shared" si="15"/>
        <v>7</v>
      </c>
      <c r="D69" s="88">
        <v>7871478.3710843381</v>
      </c>
      <c r="E69" s="88">
        <v>331866.97414415696</v>
      </c>
      <c r="F69" s="88">
        <v>8203345.3452284951</v>
      </c>
      <c r="G69" s="78">
        <v>0</v>
      </c>
      <c r="H69" s="78">
        <v>300.89999999999998</v>
      </c>
      <c r="I69" s="78">
        <f t="shared" si="10"/>
        <v>0</v>
      </c>
      <c r="J69" s="78">
        <f t="shared" si="10"/>
        <v>273.7568421052631</v>
      </c>
      <c r="K69" s="30">
        <v>0</v>
      </c>
      <c r="L69" s="30">
        <v>2606</v>
      </c>
      <c r="M69" s="30">
        <v>67</v>
      </c>
      <c r="N69" s="81">
        <v>0</v>
      </c>
      <c r="O69" s="30">
        <f t="shared" si="16"/>
        <v>8068588.5384084554</v>
      </c>
      <c r="P69" s="30">
        <f t="shared" si="11"/>
        <v>7736721.5642642984</v>
      </c>
      <c r="Q69" s="30">
        <f t="shared" si="12"/>
        <v>-134756.80682003964</v>
      </c>
      <c r="R69" s="48">
        <f t="shared" si="13"/>
        <v>1.6427055201134671E-2</v>
      </c>
    </row>
    <row r="70" spans="1:18" x14ac:dyDescent="0.2">
      <c r="A70" s="2">
        <v>42583</v>
      </c>
      <c r="B70">
        <f t="shared" si="14"/>
        <v>2016</v>
      </c>
      <c r="C70">
        <f t="shared" si="15"/>
        <v>8</v>
      </c>
      <c r="D70" s="88">
        <v>7755227.0457831379</v>
      </c>
      <c r="E70" s="88">
        <v>331866.97414415696</v>
      </c>
      <c r="F70" s="88">
        <v>8087094.0199272949</v>
      </c>
      <c r="G70" s="78">
        <v>0</v>
      </c>
      <c r="H70" s="78">
        <v>319.40000000000003</v>
      </c>
      <c r="I70" s="78">
        <f t="shared" si="10"/>
        <v>0</v>
      </c>
      <c r="J70" s="78">
        <f t="shared" si="10"/>
        <v>253.05789473684217</v>
      </c>
      <c r="K70" s="30">
        <v>0</v>
      </c>
      <c r="L70" s="30">
        <v>2607</v>
      </c>
      <c r="M70" s="30">
        <v>68</v>
      </c>
      <c r="N70" s="81">
        <v>0</v>
      </c>
      <c r="O70" s="30">
        <f t="shared" si="16"/>
        <v>7757727.3965722574</v>
      </c>
      <c r="P70" s="30">
        <f t="shared" si="11"/>
        <v>7425860.4224281004</v>
      </c>
      <c r="Q70" s="30">
        <f t="shared" si="12"/>
        <v>-329366.62335503753</v>
      </c>
      <c r="R70" s="48">
        <f t="shared" si="13"/>
        <v>4.0727438378167717E-2</v>
      </c>
    </row>
    <row r="71" spans="1:18" x14ac:dyDescent="0.2">
      <c r="A71" s="2">
        <v>42614</v>
      </c>
      <c r="B71">
        <f t="shared" si="14"/>
        <v>2016</v>
      </c>
      <c r="C71">
        <f t="shared" si="15"/>
        <v>9</v>
      </c>
      <c r="D71" s="88">
        <v>7032991.7686746987</v>
      </c>
      <c r="E71" s="88">
        <v>331866.97414415696</v>
      </c>
      <c r="F71" s="88">
        <v>7364858.7428188557</v>
      </c>
      <c r="G71" s="78">
        <v>1.2999999999999989</v>
      </c>
      <c r="H71" s="78">
        <v>164.79999999999998</v>
      </c>
      <c r="I71" s="78">
        <f t="shared" si="10"/>
        <v>9.9542105263157907</v>
      </c>
      <c r="J71" s="78">
        <f t="shared" si="10"/>
        <v>120.49421052631581</v>
      </c>
      <c r="K71" s="30">
        <v>1</v>
      </c>
      <c r="L71" s="30">
        <v>2608</v>
      </c>
      <c r="M71" s="30">
        <v>69</v>
      </c>
      <c r="N71" s="81">
        <v>0</v>
      </c>
      <c r="O71" s="30">
        <f t="shared" si="16"/>
        <v>7174665.5016044164</v>
      </c>
      <c r="P71" s="30">
        <f t="shared" si="11"/>
        <v>6842798.5274602594</v>
      </c>
      <c r="Q71" s="30">
        <f t="shared" si="12"/>
        <v>-190193.24121443927</v>
      </c>
      <c r="R71" s="48">
        <f t="shared" si="13"/>
        <v>2.5824424860814633E-2</v>
      </c>
    </row>
    <row r="72" spans="1:18" x14ac:dyDescent="0.2">
      <c r="A72" s="2">
        <v>42644</v>
      </c>
      <c r="B72">
        <f t="shared" si="14"/>
        <v>2016</v>
      </c>
      <c r="C72">
        <f t="shared" si="15"/>
        <v>10</v>
      </c>
      <c r="D72" s="88">
        <v>6150053.96626506</v>
      </c>
      <c r="E72" s="88">
        <v>331866.97414415696</v>
      </c>
      <c r="F72" s="88">
        <v>6481920.940409217</v>
      </c>
      <c r="G72" s="78">
        <v>105.89999999999999</v>
      </c>
      <c r="H72" s="78">
        <v>39.800000000000004</v>
      </c>
      <c r="I72" s="78">
        <f t="shared" si="10"/>
        <v>107.70315789473716</v>
      </c>
      <c r="J72" s="78">
        <f t="shared" si="10"/>
        <v>25.808421052631616</v>
      </c>
      <c r="K72" s="30">
        <v>1</v>
      </c>
      <c r="L72" s="30">
        <v>2614</v>
      </c>
      <c r="M72" s="30">
        <v>70</v>
      </c>
      <c r="N72" s="81">
        <v>0</v>
      </c>
      <c r="O72" s="30">
        <f t="shared" si="16"/>
        <v>6418660.2127562556</v>
      </c>
      <c r="P72" s="30">
        <f t="shared" si="11"/>
        <v>6086793.2386120986</v>
      </c>
      <c r="Q72" s="30">
        <f t="shared" si="12"/>
        <v>-63260.727652961388</v>
      </c>
      <c r="R72" s="48">
        <f t="shared" si="13"/>
        <v>9.7595648318672037E-3</v>
      </c>
    </row>
    <row r="73" spans="1:18" x14ac:dyDescent="0.2">
      <c r="A73" s="2">
        <v>42675</v>
      </c>
      <c r="B73">
        <f t="shared" si="14"/>
        <v>2016</v>
      </c>
      <c r="C73">
        <f t="shared" si="15"/>
        <v>11</v>
      </c>
      <c r="D73" s="88">
        <v>6266723.7204819247</v>
      </c>
      <c r="E73" s="88">
        <v>331866.97414415696</v>
      </c>
      <c r="F73" s="88">
        <v>6598590.6946260817</v>
      </c>
      <c r="G73" s="78">
        <v>218.89999999999995</v>
      </c>
      <c r="H73" s="78">
        <v>1.0999999999999996</v>
      </c>
      <c r="I73" s="78">
        <f t="shared" si="10"/>
        <v>305.31105263157906</v>
      </c>
      <c r="J73" s="78">
        <f t="shared" si="10"/>
        <v>1.3363157894737014</v>
      </c>
      <c r="K73" s="30">
        <v>1</v>
      </c>
      <c r="L73" s="30">
        <v>2621</v>
      </c>
      <c r="M73" s="30">
        <v>71</v>
      </c>
      <c r="N73" s="81">
        <v>0</v>
      </c>
      <c r="O73" s="30">
        <f t="shared" si="16"/>
        <v>6897016.6884080376</v>
      </c>
      <c r="P73" s="30">
        <f t="shared" si="11"/>
        <v>6565149.7142638806</v>
      </c>
      <c r="Q73" s="30">
        <f t="shared" si="12"/>
        <v>298425.99378195591</v>
      </c>
      <c r="R73" s="48">
        <f t="shared" si="13"/>
        <v>4.522571676176175E-2</v>
      </c>
    </row>
    <row r="74" spans="1:18" x14ac:dyDescent="0.2">
      <c r="A74" s="2">
        <v>42705</v>
      </c>
      <c r="B74">
        <f t="shared" si="14"/>
        <v>2016</v>
      </c>
      <c r="C74">
        <f t="shared" si="15"/>
        <v>12</v>
      </c>
      <c r="D74" s="88">
        <v>8092166.8722891547</v>
      </c>
      <c r="E74" s="88">
        <v>331866.97414415696</v>
      </c>
      <c r="F74" s="88">
        <v>8424033.8464333117</v>
      </c>
      <c r="G74" s="78">
        <v>483.99999999999989</v>
      </c>
      <c r="H74" s="78">
        <v>0</v>
      </c>
      <c r="I74" s="78">
        <f t="shared" si="10"/>
        <v>437.78421052631529</v>
      </c>
      <c r="J74" s="78">
        <f t="shared" si="10"/>
        <v>0</v>
      </c>
      <c r="K74" s="30">
        <v>0</v>
      </c>
      <c r="L74" s="30">
        <v>2625</v>
      </c>
      <c r="M74" s="30">
        <v>72</v>
      </c>
      <c r="N74" s="81">
        <v>0</v>
      </c>
      <c r="O74" s="30">
        <f t="shared" si="16"/>
        <v>8265052.2029609848</v>
      </c>
      <c r="P74" s="30">
        <f t="shared" si="11"/>
        <v>7933185.2288168278</v>
      </c>
      <c r="Q74" s="30">
        <f t="shared" si="12"/>
        <v>-158981.64347232692</v>
      </c>
      <c r="R74" s="48">
        <f t="shared" si="13"/>
        <v>1.8872388973085484E-2</v>
      </c>
    </row>
    <row r="75" spans="1:18" x14ac:dyDescent="0.2">
      <c r="A75" s="2">
        <v>42736</v>
      </c>
      <c r="B75">
        <f t="shared" si="14"/>
        <v>2017</v>
      </c>
      <c r="C75">
        <f t="shared" si="15"/>
        <v>1</v>
      </c>
      <c r="D75" s="88">
        <v>8536456.1253012065</v>
      </c>
      <c r="E75" s="88">
        <v>425326.81217228295</v>
      </c>
      <c r="F75" s="88">
        <v>8961782.937473489</v>
      </c>
      <c r="G75" s="78">
        <v>484.9</v>
      </c>
      <c r="H75" s="78">
        <v>0</v>
      </c>
      <c r="I75" s="78">
        <f t="shared" si="10"/>
        <v>557.82052631578927</v>
      </c>
      <c r="J75" s="78">
        <f t="shared" si="10"/>
        <v>0</v>
      </c>
      <c r="K75" s="30">
        <v>0</v>
      </c>
      <c r="L75" s="30">
        <v>2632</v>
      </c>
      <c r="M75" s="30">
        <v>73</v>
      </c>
      <c r="N75" s="81">
        <v>0</v>
      </c>
      <c r="O75" s="30">
        <f t="shared" si="16"/>
        <v>9212628.487199571</v>
      </c>
      <c r="P75" s="30">
        <f t="shared" si="11"/>
        <v>8787301.6750272885</v>
      </c>
      <c r="Q75" s="30">
        <f t="shared" si="12"/>
        <v>250845.54972608201</v>
      </c>
      <c r="R75" s="48">
        <f t="shared" si="13"/>
        <v>2.7990585297170849E-2</v>
      </c>
    </row>
    <row r="76" spans="1:18" x14ac:dyDescent="0.2">
      <c r="A76" s="2">
        <v>42767</v>
      </c>
      <c r="B76">
        <f t="shared" si="14"/>
        <v>2017</v>
      </c>
      <c r="C76">
        <f t="shared" si="15"/>
        <v>2</v>
      </c>
      <c r="D76" s="88">
        <v>7050356.7518072287</v>
      </c>
      <c r="E76" s="88">
        <v>425326.81217228295</v>
      </c>
      <c r="F76" s="88">
        <v>7475683.5639795121</v>
      </c>
      <c r="G76" s="78">
        <v>398.4</v>
      </c>
      <c r="H76" s="78">
        <v>0</v>
      </c>
      <c r="I76" s="78">
        <f t="shared" si="10"/>
        <v>513.95684210526292</v>
      </c>
      <c r="J76" s="78">
        <f t="shared" si="10"/>
        <v>0</v>
      </c>
      <c r="K76" s="30">
        <v>0</v>
      </c>
      <c r="L76" s="30">
        <v>2632</v>
      </c>
      <c r="M76" s="30">
        <v>74</v>
      </c>
      <c r="N76" s="81">
        <v>0</v>
      </c>
      <c r="O76" s="30">
        <f t="shared" si="16"/>
        <v>7873197.419776082</v>
      </c>
      <c r="P76" s="30">
        <f t="shared" si="11"/>
        <v>7447870.6076037996</v>
      </c>
      <c r="Q76" s="30">
        <f t="shared" si="12"/>
        <v>397513.85579656996</v>
      </c>
      <c r="R76" s="48">
        <f t="shared" si="13"/>
        <v>5.3174248534532995E-2</v>
      </c>
    </row>
    <row r="77" spans="1:18" x14ac:dyDescent="0.2">
      <c r="A77" s="2">
        <v>42795</v>
      </c>
      <c r="B77">
        <f t="shared" si="14"/>
        <v>2017</v>
      </c>
      <c r="C77">
        <f t="shared" si="15"/>
        <v>3</v>
      </c>
      <c r="D77" s="88">
        <v>7960777.1951807197</v>
      </c>
      <c r="E77" s="88">
        <v>425326.81217228295</v>
      </c>
      <c r="F77" s="88">
        <v>8386104.0073530022</v>
      </c>
      <c r="G77" s="78">
        <v>450</v>
      </c>
      <c r="H77" s="78">
        <v>0</v>
      </c>
      <c r="I77" s="78">
        <f t="shared" si="10"/>
        <v>400.06210526315817</v>
      </c>
      <c r="J77" s="78">
        <f t="shared" si="10"/>
        <v>0.74263157894736409</v>
      </c>
      <c r="K77" s="30">
        <v>0</v>
      </c>
      <c r="L77" s="30">
        <v>2641</v>
      </c>
      <c r="M77" s="30">
        <v>75</v>
      </c>
      <c r="N77" s="81">
        <v>0</v>
      </c>
      <c r="O77" s="30">
        <f t="shared" si="16"/>
        <v>8218005.2962359693</v>
      </c>
      <c r="P77" s="30">
        <f t="shared" si="11"/>
        <v>7792678.4840636868</v>
      </c>
      <c r="Q77" s="30">
        <f t="shared" si="12"/>
        <v>-168098.71111703292</v>
      </c>
      <c r="R77" s="48">
        <f t="shared" si="13"/>
        <v>2.0044911316344591E-2</v>
      </c>
    </row>
    <row r="78" spans="1:18" x14ac:dyDescent="0.2">
      <c r="A78" s="2">
        <v>42826</v>
      </c>
      <c r="B78">
        <f t="shared" si="14"/>
        <v>2017</v>
      </c>
      <c r="C78">
        <f t="shared" si="15"/>
        <v>4</v>
      </c>
      <c r="D78" s="88">
        <v>6536291.9132530158</v>
      </c>
      <c r="E78" s="88">
        <v>425326.81217228295</v>
      </c>
      <c r="F78" s="88">
        <v>6961618.7254252993</v>
      </c>
      <c r="G78" s="78">
        <v>145.9</v>
      </c>
      <c r="H78" s="78">
        <v>8.3999999999999986</v>
      </c>
      <c r="I78" s="78">
        <f t="shared" si="10"/>
        <v>225.72052631578936</v>
      </c>
      <c r="J78" s="78">
        <f t="shared" si="10"/>
        <v>0</v>
      </c>
      <c r="K78" s="30">
        <v>0</v>
      </c>
      <c r="L78" s="30">
        <v>2638</v>
      </c>
      <c r="M78" s="30">
        <v>76</v>
      </c>
      <c r="N78" s="81">
        <v>0</v>
      </c>
      <c r="O78" s="30">
        <f t="shared" si="16"/>
        <v>7194496.9513812168</v>
      </c>
      <c r="P78" s="30">
        <f t="shared" si="11"/>
        <v>6769170.1392089333</v>
      </c>
      <c r="Q78" s="30">
        <f t="shared" si="12"/>
        <v>232878.2259559175</v>
      </c>
      <c r="R78" s="48">
        <f t="shared" si="13"/>
        <v>3.345173516978129E-2</v>
      </c>
    </row>
    <row r="79" spans="1:18" x14ac:dyDescent="0.2">
      <c r="A79" s="2">
        <v>42856</v>
      </c>
      <c r="B79">
        <f t="shared" si="14"/>
        <v>2017</v>
      </c>
      <c r="C79">
        <f t="shared" si="15"/>
        <v>5</v>
      </c>
      <c r="D79" s="88">
        <v>6062612.0385542186</v>
      </c>
      <c r="E79" s="88">
        <v>425326.81217228295</v>
      </c>
      <c r="F79" s="88">
        <v>6487938.850726502</v>
      </c>
      <c r="G79" s="78">
        <v>82.59999999999998</v>
      </c>
      <c r="H79" s="78">
        <v>38.6</v>
      </c>
      <c r="I79" s="78">
        <f t="shared" si="10"/>
        <v>59.688947368421054</v>
      </c>
      <c r="J79" s="78">
        <f t="shared" si="10"/>
        <v>80.273684210525971</v>
      </c>
      <c r="K79" s="30">
        <v>0</v>
      </c>
      <c r="L79" s="30">
        <v>2624</v>
      </c>
      <c r="M79" s="30">
        <v>77</v>
      </c>
      <c r="N79" s="81">
        <v>0</v>
      </c>
      <c r="O79" s="30">
        <f t="shared" si="16"/>
        <v>6616021.2299046675</v>
      </c>
      <c r="P79" s="30">
        <f t="shared" si="11"/>
        <v>6190694.4177323841</v>
      </c>
      <c r="Q79" s="30">
        <f t="shared" si="12"/>
        <v>128082.37917816546</v>
      </c>
      <c r="R79" s="48">
        <f t="shared" si="13"/>
        <v>1.9741613187957703E-2</v>
      </c>
    </row>
    <row r="80" spans="1:18" x14ac:dyDescent="0.2">
      <c r="A80" s="2">
        <v>42887</v>
      </c>
      <c r="B80">
        <f t="shared" si="14"/>
        <v>2017</v>
      </c>
      <c r="C80">
        <f t="shared" si="15"/>
        <v>6</v>
      </c>
      <c r="D80" s="88">
        <v>6670926.1301204795</v>
      </c>
      <c r="E80" s="88">
        <v>425326.81217228295</v>
      </c>
      <c r="F80" s="88">
        <v>7096252.9422927629</v>
      </c>
      <c r="G80" s="78">
        <v>0.70000000000000107</v>
      </c>
      <c r="H80" s="78">
        <v>162.19999999999999</v>
      </c>
      <c r="I80" s="78">
        <f t="shared" si="10"/>
        <v>1.08894736842106</v>
      </c>
      <c r="J80" s="78">
        <f t="shared" si="10"/>
        <v>177.38052631578967</v>
      </c>
      <c r="K80" s="30">
        <v>0</v>
      </c>
      <c r="L80" s="30">
        <v>2633</v>
      </c>
      <c r="M80" s="30">
        <v>78</v>
      </c>
      <c r="N80" s="81">
        <v>0</v>
      </c>
      <c r="O80" s="30">
        <f t="shared" si="16"/>
        <v>7172957.2108412366</v>
      </c>
      <c r="P80" s="30">
        <f t="shared" si="11"/>
        <v>6747630.3986689541</v>
      </c>
      <c r="Q80" s="30">
        <f t="shared" si="12"/>
        <v>76704.268548473716</v>
      </c>
      <c r="R80" s="48">
        <f t="shared" si="13"/>
        <v>1.0809122669701647E-2</v>
      </c>
    </row>
    <row r="81" spans="1:32" x14ac:dyDescent="0.2">
      <c r="A81" s="2">
        <v>42917</v>
      </c>
      <c r="B81">
        <f t="shared" si="14"/>
        <v>2017</v>
      </c>
      <c r="C81">
        <f t="shared" si="15"/>
        <v>7</v>
      </c>
      <c r="D81" s="88">
        <v>6544660.1638554176</v>
      </c>
      <c r="E81" s="88">
        <v>425326.81217228295</v>
      </c>
      <c r="F81" s="88">
        <v>6969986.9760277011</v>
      </c>
      <c r="G81" s="78">
        <v>0</v>
      </c>
      <c r="H81" s="78">
        <v>240.50000000000009</v>
      </c>
      <c r="I81" s="78">
        <f t="shared" si="10"/>
        <v>0</v>
      </c>
      <c r="J81" s="78">
        <f t="shared" si="10"/>
        <v>273.7568421052631</v>
      </c>
      <c r="K81" s="30">
        <v>0</v>
      </c>
      <c r="L81" s="30">
        <v>2648</v>
      </c>
      <c r="M81" s="30">
        <v>79</v>
      </c>
      <c r="N81" s="81">
        <v>0</v>
      </c>
      <c r="O81" s="30">
        <f t="shared" si="16"/>
        <v>7135096.2040844886</v>
      </c>
      <c r="P81" s="30">
        <f t="shared" si="11"/>
        <v>6709769.3919122051</v>
      </c>
      <c r="Q81" s="30">
        <f t="shared" si="12"/>
        <v>165109.22805678751</v>
      </c>
      <c r="R81" s="48">
        <f t="shared" si="13"/>
        <v>2.3688599221871963E-2</v>
      </c>
    </row>
    <row r="82" spans="1:32" x14ac:dyDescent="0.2">
      <c r="A82" s="2">
        <v>42948</v>
      </c>
      <c r="B82">
        <f t="shared" si="14"/>
        <v>2017</v>
      </c>
      <c r="C82">
        <f t="shared" si="15"/>
        <v>8</v>
      </c>
      <c r="D82" s="88">
        <v>7044220.3084337329</v>
      </c>
      <c r="E82" s="88">
        <v>425326.81217228295</v>
      </c>
      <c r="F82" s="88">
        <v>7469547.1206060164</v>
      </c>
      <c r="G82" s="78">
        <v>0</v>
      </c>
      <c r="H82" s="78">
        <v>187.60000000000002</v>
      </c>
      <c r="I82" s="78">
        <f t="shared" si="10"/>
        <v>0</v>
      </c>
      <c r="J82" s="78">
        <f t="shared" si="10"/>
        <v>253.05789473684217</v>
      </c>
      <c r="K82" s="30">
        <v>0</v>
      </c>
      <c r="L82" s="30">
        <v>2658</v>
      </c>
      <c r="M82" s="30">
        <v>80</v>
      </c>
      <c r="N82" s="81">
        <v>0</v>
      </c>
      <c r="O82" s="30">
        <f t="shared" si="16"/>
        <v>7794523.9309722688</v>
      </c>
      <c r="P82" s="30">
        <f t="shared" si="11"/>
        <v>7369197.1187999863</v>
      </c>
      <c r="Q82" s="30">
        <f t="shared" si="12"/>
        <v>324976.81036625244</v>
      </c>
      <c r="R82" s="48">
        <f t="shared" si="13"/>
        <v>4.3506896083398229E-2</v>
      </c>
      <c r="AE82"/>
      <c r="AF82"/>
    </row>
    <row r="83" spans="1:32" x14ac:dyDescent="0.2">
      <c r="A83" s="2">
        <v>42979</v>
      </c>
      <c r="B83">
        <f t="shared" si="14"/>
        <v>2017</v>
      </c>
      <c r="C83">
        <f t="shared" si="15"/>
        <v>9</v>
      </c>
      <c r="D83" s="88">
        <v>6545898.053012046</v>
      </c>
      <c r="E83" s="88">
        <v>425326.81217228295</v>
      </c>
      <c r="F83" s="88">
        <v>6971224.8651843295</v>
      </c>
      <c r="G83" s="78">
        <v>7.7000000000000011</v>
      </c>
      <c r="H83" s="78">
        <v>150.10000000000002</v>
      </c>
      <c r="I83" s="78">
        <f t="shared" ref="I83:J98" si="17">I95</f>
        <v>9.9542105263157907</v>
      </c>
      <c r="J83" s="78">
        <f t="shared" si="17"/>
        <v>120.49421052631581</v>
      </c>
      <c r="K83" s="30">
        <v>1</v>
      </c>
      <c r="L83" s="30">
        <v>2656</v>
      </c>
      <c r="M83" s="30">
        <v>81</v>
      </c>
      <c r="N83" s="81">
        <v>0</v>
      </c>
      <c r="O83" s="30">
        <f t="shared" si="16"/>
        <v>6831996.3580114786</v>
      </c>
      <c r="P83" s="30">
        <f t="shared" si="11"/>
        <v>6406669.5458391961</v>
      </c>
      <c r="Q83" s="30">
        <f t="shared" si="12"/>
        <v>-139228.50717285089</v>
      </c>
      <c r="R83" s="48">
        <f t="shared" si="13"/>
        <v>1.9971885840060259E-2</v>
      </c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</row>
    <row r="84" spans="1:32" x14ac:dyDescent="0.2">
      <c r="A84" s="2">
        <v>43009</v>
      </c>
      <c r="B84">
        <f t="shared" si="14"/>
        <v>2017</v>
      </c>
      <c r="C84">
        <f t="shared" si="15"/>
        <v>10</v>
      </c>
      <c r="D84" s="88">
        <v>5870284.5879518026</v>
      </c>
      <c r="E84" s="88">
        <v>425326.81217228295</v>
      </c>
      <c r="F84" s="88">
        <v>6295611.4001240861</v>
      </c>
      <c r="G84" s="78">
        <v>70.000000000000014</v>
      </c>
      <c r="H84" s="78">
        <v>48.1</v>
      </c>
      <c r="I84" s="78">
        <f t="shared" si="17"/>
        <v>107.70315789473716</v>
      </c>
      <c r="J84" s="78">
        <f t="shared" si="17"/>
        <v>25.808421052631616</v>
      </c>
      <c r="K84" s="30">
        <v>1</v>
      </c>
      <c r="L84" s="30">
        <v>2655</v>
      </c>
      <c r="M84" s="30">
        <v>82</v>
      </c>
      <c r="N84" s="81">
        <v>0</v>
      </c>
      <c r="O84" s="30">
        <f t="shared" si="16"/>
        <v>6314639.3937730445</v>
      </c>
      <c r="P84" s="30">
        <f t="shared" si="11"/>
        <v>5889312.581600761</v>
      </c>
      <c r="Q84" s="30">
        <f t="shared" si="12"/>
        <v>19027.993648958392</v>
      </c>
      <c r="R84" s="48">
        <f t="shared" si="13"/>
        <v>3.0224218808332661E-3</v>
      </c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</row>
    <row r="85" spans="1:32" x14ac:dyDescent="0.2">
      <c r="A85" s="2">
        <v>43040</v>
      </c>
      <c r="B85">
        <f t="shared" si="14"/>
        <v>2017</v>
      </c>
      <c r="C85">
        <f t="shared" si="15"/>
        <v>11</v>
      </c>
      <c r="D85" s="88">
        <v>6629922.1975903567</v>
      </c>
      <c r="E85" s="88">
        <v>425326.81217228295</v>
      </c>
      <c r="F85" s="88">
        <v>7055249.0097626392</v>
      </c>
      <c r="G85" s="78">
        <v>309.40000000000003</v>
      </c>
      <c r="H85" s="78">
        <v>0</v>
      </c>
      <c r="I85" s="78">
        <f t="shared" si="17"/>
        <v>305.31105263157906</v>
      </c>
      <c r="J85" s="78">
        <f t="shared" si="17"/>
        <v>1.3363157894737014</v>
      </c>
      <c r="K85" s="30">
        <v>1</v>
      </c>
      <c r="L85" s="30">
        <v>2671</v>
      </c>
      <c r="M85" s="30">
        <v>83</v>
      </c>
      <c r="N85" s="81">
        <v>0</v>
      </c>
      <c r="O85" s="30">
        <f t="shared" si="16"/>
        <v>7047817.4564763037</v>
      </c>
      <c r="P85" s="30">
        <f t="shared" si="11"/>
        <v>6622490.6443040203</v>
      </c>
      <c r="Q85" s="30">
        <f t="shared" si="12"/>
        <v>-7431.553286335431</v>
      </c>
      <c r="R85" s="48">
        <f t="shared" si="13"/>
        <v>1.0533367817425132E-3</v>
      </c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</row>
    <row r="86" spans="1:32" x14ac:dyDescent="0.2">
      <c r="A86" s="2">
        <v>43070</v>
      </c>
      <c r="B86">
        <f t="shared" si="14"/>
        <v>2017</v>
      </c>
      <c r="C86">
        <f t="shared" si="15"/>
        <v>12</v>
      </c>
      <c r="D86" s="88">
        <v>7447066.4385542134</v>
      </c>
      <c r="E86" s="88">
        <v>425326.81217228295</v>
      </c>
      <c r="F86" s="88">
        <v>7872393.2507264968</v>
      </c>
      <c r="G86" s="78">
        <v>594.49999999999989</v>
      </c>
      <c r="H86" s="78">
        <v>0</v>
      </c>
      <c r="I86" s="78">
        <f t="shared" si="17"/>
        <v>437.78421052631529</v>
      </c>
      <c r="J86" s="78">
        <f t="shared" si="17"/>
        <v>0</v>
      </c>
      <c r="K86" s="30">
        <v>0</v>
      </c>
      <c r="L86" s="30">
        <v>2668</v>
      </c>
      <c r="M86" s="30">
        <v>84</v>
      </c>
      <c r="N86" s="81">
        <v>0</v>
      </c>
      <c r="O86" s="30">
        <f t="shared" si="16"/>
        <v>7333293.2147360649</v>
      </c>
      <c r="P86" s="30">
        <f t="shared" si="11"/>
        <v>6907966.4025637824</v>
      </c>
      <c r="Q86" s="30">
        <f t="shared" si="12"/>
        <v>-539100.0359904319</v>
      </c>
      <c r="R86" s="48">
        <f t="shared" si="13"/>
        <v>6.8479815326893317E-2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</row>
    <row r="87" spans="1:32" x14ac:dyDescent="0.2">
      <c r="A87" s="2">
        <v>43101</v>
      </c>
      <c r="B87">
        <f t="shared" si="14"/>
        <v>2018</v>
      </c>
      <c r="C87">
        <f t="shared" si="15"/>
        <v>1</v>
      </c>
      <c r="D87" s="88">
        <v>8456682.110843366</v>
      </c>
      <c r="E87" s="88">
        <v>516993.78053170216</v>
      </c>
      <c r="F87" s="88">
        <v>8973675.8913750686</v>
      </c>
      <c r="G87" s="78">
        <v>608.29999999999984</v>
      </c>
      <c r="H87" s="78">
        <v>0</v>
      </c>
      <c r="I87" s="78">
        <f t="shared" si="17"/>
        <v>557.82052631578927</v>
      </c>
      <c r="J87" s="78">
        <f t="shared" si="17"/>
        <v>0</v>
      </c>
      <c r="K87" s="30">
        <v>0</v>
      </c>
      <c r="L87" s="30">
        <v>2666</v>
      </c>
      <c r="M87" s="30">
        <v>85</v>
      </c>
      <c r="N87" s="81">
        <v>0</v>
      </c>
      <c r="O87" s="30">
        <f t="shared" si="16"/>
        <v>8800027.2362438273</v>
      </c>
      <c r="P87" s="30">
        <f t="shared" si="11"/>
        <v>8283033.4557121247</v>
      </c>
      <c r="Q87" s="30">
        <f t="shared" si="12"/>
        <v>-173648.65513124131</v>
      </c>
      <c r="R87" s="48">
        <f t="shared" si="13"/>
        <v>1.935089446434559E-2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</row>
    <row r="88" spans="1:32" x14ac:dyDescent="0.2">
      <c r="A88" s="2">
        <v>43132</v>
      </c>
      <c r="B88">
        <f t="shared" si="14"/>
        <v>2018</v>
      </c>
      <c r="C88">
        <f t="shared" si="15"/>
        <v>2</v>
      </c>
      <c r="D88" s="88">
        <v>7043598.3132530134</v>
      </c>
      <c r="E88" s="88">
        <v>516993.78053170216</v>
      </c>
      <c r="F88" s="88">
        <v>7560592.093784716</v>
      </c>
      <c r="G88" s="78">
        <v>443.00000000000011</v>
      </c>
      <c r="H88" s="78">
        <v>0</v>
      </c>
      <c r="I88" s="78">
        <f t="shared" si="17"/>
        <v>513.95684210526292</v>
      </c>
      <c r="J88" s="78">
        <f t="shared" si="17"/>
        <v>0</v>
      </c>
      <c r="K88" s="30">
        <v>0</v>
      </c>
      <c r="L88" s="30">
        <v>2673</v>
      </c>
      <c r="M88" s="30">
        <v>86</v>
      </c>
      <c r="N88" s="81">
        <v>0</v>
      </c>
      <c r="O88" s="30">
        <f t="shared" si="16"/>
        <v>7804682.598392983</v>
      </c>
      <c r="P88" s="30">
        <f t="shared" si="11"/>
        <v>7287688.8178612804</v>
      </c>
      <c r="Q88" s="30">
        <f t="shared" si="12"/>
        <v>244090.50460826699</v>
      </c>
      <c r="R88" s="48">
        <f t="shared" si="13"/>
        <v>3.22845752793521E-2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</row>
    <row r="89" spans="1:32" x14ac:dyDescent="0.2">
      <c r="A89" s="2">
        <v>43160</v>
      </c>
      <c r="B89">
        <f t="shared" si="14"/>
        <v>2018</v>
      </c>
      <c r="C89">
        <f t="shared" si="15"/>
        <v>3</v>
      </c>
      <c r="D89" s="88">
        <v>7715573.493975902</v>
      </c>
      <c r="E89" s="88">
        <v>516993.78053170216</v>
      </c>
      <c r="F89" s="88">
        <v>8232567.2745076045</v>
      </c>
      <c r="G89" s="78">
        <v>430</v>
      </c>
      <c r="H89" s="78">
        <v>0</v>
      </c>
      <c r="I89" s="78">
        <f t="shared" si="17"/>
        <v>400.06210526315817</v>
      </c>
      <c r="J89" s="78">
        <f t="shared" si="17"/>
        <v>0.74263157894736409</v>
      </c>
      <c r="K89" s="30">
        <v>0</v>
      </c>
      <c r="L89" s="30">
        <v>2677</v>
      </c>
      <c r="M89" s="30">
        <v>87</v>
      </c>
      <c r="N89" s="81">
        <v>0</v>
      </c>
      <c r="O89" s="30">
        <f t="shared" si="16"/>
        <v>8133268.2724436224</v>
      </c>
      <c r="P89" s="30">
        <f t="shared" si="11"/>
        <v>7616274.4919119198</v>
      </c>
      <c r="Q89" s="30">
        <f t="shared" si="12"/>
        <v>-99299.002063982189</v>
      </c>
      <c r="R89" s="48">
        <f t="shared" si="13"/>
        <v>1.2061729804682505E-2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</row>
    <row r="90" spans="1:32" x14ac:dyDescent="0.2">
      <c r="A90" s="2">
        <v>43191</v>
      </c>
      <c r="B90">
        <f t="shared" si="14"/>
        <v>2018</v>
      </c>
      <c r="C90">
        <f t="shared" si="15"/>
        <v>4</v>
      </c>
      <c r="D90" s="88">
        <v>6658362.8048192756</v>
      </c>
      <c r="E90" s="88">
        <v>516993.78053170216</v>
      </c>
      <c r="F90" s="88">
        <v>7175356.5853509782</v>
      </c>
      <c r="G90" s="78">
        <v>317.2</v>
      </c>
      <c r="H90" s="78">
        <v>0</v>
      </c>
      <c r="I90" s="78">
        <f t="shared" si="17"/>
        <v>225.72052631578936</v>
      </c>
      <c r="J90" s="78">
        <f t="shared" si="17"/>
        <v>0</v>
      </c>
      <c r="K90" s="30">
        <v>0</v>
      </c>
      <c r="L90" s="30">
        <v>2679</v>
      </c>
      <c r="M90" s="30">
        <v>88</v>
      </c>
      <c r="N90" s="81">
        <v>0</v>
      </c>
      <c r="O90" s="30">
        <f t="shared" si="16"/>
        <v>6860668.5266609835</v>
      </c>
      <c r="P90" s="30">
        <f t="shared" si="11"/>
        <v>6343674.7461292809</v>
      </c>
      <c r="Q90" s="30">
        <f t="shared" si="12"/>
        <v>-314688.05868999474</v>
      </c>
      <c r="R90" s="48">
        <f t="shared" si="13"/>
        <v>4.3856783275754367E-2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</row>
    <row r="91" spans="1:32" x14ac:dyDescent="0.2">
      <c r="A91" s="2">
        <v>43221</v>
      </c>
      <c r="B91">
        <f t="shared" si="14"/>
        <v>2018</v>
      </c>
      <c r="C91">
        <f t="shared" si="15"/>
        <v>5</v>
      </c>
      <c r="D91" s="88">
        <v>6587285.6771084294</v>
      </c>
      <c r="E91" s="88">
        <v>516993.78053170216</v>
      </c>
      <c r="F91" s="88">
        <v>7104279.4576401319</v>
      </c>
      <c r="G91" s="78">
        <v>15</v>
      </c>
      <c r="H91" s="78">
        <v>107.10000000000001</v>
      </c>
      <c r="I91" s="78">
        <f t="shared" si="17"/>
        <v>59.688947368421054</v>
      </c>
      <c r="J91" s="78">
        <f t="shared" si="17"/>
        <v>80.273684210525971</v>
      </c>
      <c r="K91" s="30">
        <v>0</v>
      </c>
      <c r="L91" s="30">
        <v>2673</v>
      </c>
      <c r="M91" s="30">
        <v>89</v>
      </c>
      <c r="N91" s="81">
        <v>0</v>
      </c>
      <c r="O91" s="30">
        <f t="shared" si="16"/>
        <v>7124824.995982795</v>
      </c>
      <c r="P91" s="30">
        <f t="shared" si="11"/>
        <v>6607831.2154510925</v>
      </c>
      <c r="Q91" s="30">
        <f t="shared" si="12"/>
        <v>20545.538342663087</v>
      </c>
      <c r="R91" s="48">
        <f t="shared" si="13"/>
        <v>2.8919946723897335E-3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</row>
    <row r="92" spans="1:32" x14ac:dyDescent="0.2">
      <c r="A92" s="2">
        <v>43252</v>
      </c>
      <c r="B92">
        <f t="shared" si="14"/>
        <v>2018</v>
      </c>
      <c r="C92">
        <f t="shared" si="15"/>
        <v>6</v>
      </c>
      <c r="D92" s="88">
        <v>7073215.3156626513</v>
      </c>
      <c r="E92" s="88">
        <v>516993.78053170216</v>
      </c>
      <c r="F92" s="88">
        <v>7590209.0961943539</v>
      </c>
      <c r="G92" s="78">
        <v>1.6999999999999993</v>
      </c>
      <c r="H92" s="78">
        <v>167.39999999999998</v>
      </c>
      <c r="I92" s="78">
        <f t="shared" si="17"/>
        <v>1.08894736842106</v>
      </c>
      <c r="J92" s="78">
        <f t="shared" si="17"/>
        <v>177.38052631578967</v>
      </c>
      <c r="K92" s="30">
        <v>0</v>
      </c>
      <c r="L92" s="30">
        <v>2677</v>
      </c>
      <c r="M92" s="30">
        <v>90</v>
      </c>
      <c r="N92" s="81">
        <v>0</v>
      </c>
      <c r="O92" s="30">
        <f t="shared" si="16"/>
        <v>7637657.0981418388</v>
      </c>
      <c r="P92" s="30">
        <f t="shared" si="11"/>
        <v>7120663.3176101362</v>
      </c>
      <c r="Q92" s="30">
        <f t="shared" si="12"/>
        <v>47448.00194748491</v>
      </c>
      <c r="R92" s="48">
        <f t="shared" si="13"/>
        <v>6.2512114417605184E-3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</row>
    <row r="93" spans="1:32" x14ac:dyDescent="0.2">
      <c r="A93" s="2">
        <v>43282</v>
      </c>
      <c r="B93">
        <f t="shared" si="14"/>
        <v>2018</v>
      </c>
      <c r="C93">
        <f t="shared" si="15"/>
        <v>7</v>
      </c>
      <c r="D93" s="88">
        <v>7168019.7397590335</v>
      </c>
      <c r="E93" s="88">
        <v>516993.78053170216</v>
      </c>
      <c r="F93" s="88">
        <v>7685013.5202907361</v>
      </c>
      <c r="G93" s="78">
        <v>0</v>
      </c>
      <c r="H93" s="78">
        <v>291.79999999999995</v>
      </c>
      <c r="I93" s="78">
        <f t="shared" si="17"/>
        <v>0</v>
      </c>
      <c r="J93" s="78">
        <f t="shared" si="17"/>
        <v>273.7568421052631</v>
      </c>
      <c r="K93" s="30">
        <v>0</v>
      </c>
      <c r="L93" s="30">
        <v>2686</v>
      </c>
      <c r="M93" s="30">
        <v>91</v>
      </c>
      <c r="N93" s="81">
        <v>0</v>
      </c>
      <c r="O93" s="30">
        <f t="shared" si="16"/>
        <v>7595435.205480285</v>
      </c>
      <c r="P93" s="30">
        <f t="shared" si="11"/>
        <v>7078441.4249485824</v>
      </c>
      <c r="Q93" s="30">
        <f t="shared" si="12"/>
        <v>-89578.31481045112</v>
      </c>
      <c r="R93" s="48">
        <f t="shared" si="13"/>
        <v>1.1656233860088542E-2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</row>
    <row r="94" spans="1:32" x14ac:dyDescent="0.2">
      <c r="A94" s="2">
        <v>43313</v>
      </c>
      <c r="B94">
        <f t="shared" si="14"/>
        <v>2018</v>
      </c>
      <c r="C94">
        <f t="shared" si="15"/>
        <v>8</v>
      </c>
      <c r="D94" s="88">
        <v>7788838.81445783</v>
      </c>
      <c r="E94" s="88">
        <v>516993.78053170216</v>
      </c>
      <c r="F94" s="88">
        <v>8305832.5949895326</v>
      </c>
      <c r="G94" s="78">
        <v>0</v>
      </c>
      <c r="H94" s="78">
        <v>285.2</v>
      </c>
      <c r="I94" s="78">
        <f t="shared" si="17"/>
        <v>0</v>
      </c>
      <c r="J94" s="78">
        <f t="shared" si="17"/>
        <v>253.05789473684217</v>
      </c>
      <c r="K94" s="30">
        <v>0</v>
      </c>
      <c r="L94" s="30">
        <v>2693</v>
      </c>
      <c r="M94" s="30">
        <v>92</v>
      </c>
      <c r="N94" s="81">
        <v>0</v>
      </c>
      <c r="O94" s="30">
        <f t="shared" si="16"/>
        <v>8146257.6668793214</v>
      </c>
      <c r="P94" s="30">
        <f t="shared" si="11"/>
        <v>7629263.8863476189</v>
      </c>
      <c r="Q94" s="30">
        <f t="shared" si="12"/>
        <v>-159574.92811021116</v>
      </c>
      <c r="R94" s="48">
        <f t="shared" si="13"/>
        <v>1.9212393975587015E-2</v>
      </c>
    </row>
    <row r="95" spans="1:32" x14ac:dyDescent="0.2">
      <c r="A95" s="2">
        <v>43344</v>
      </c>
      <c r="B95">
        <f t="shared" si="14"/>
        <v>2018</v>
      </c>
      <c r="C95">
        <f t="shared" si="15"/>
        <v>9</v>
      </c>
      <c r="D95" s="88">
        <v>6718606.6602409622</v>
      </c>
      <c r="E95" s="88">
        <v>516993.78053170216</v>
      </c>
      <c r="F95" s="88">
        <v>7235600.4407726647</v>
      </c>
      <c r="G95" s="78">
        <v>8.7000000000000011</v>
      </c>
      <c r="H95" s="78">
        <v>158.5</v>
      </c>
      <c r="I95" s="78">
        <f t="shared" si="17"/>
        <v>9.9542105263157907</v>
      </c>
      <c r="J95" s="78">
        <f t="shared" si="17"/>
        <v>120.49421052631581</v>
      </c>
      <c r="K95" s="30">
        <v>1</v>
      </c>
      <c r="L95" s="30">
        <v>2702</v>
      </c>
      <c r="M95" s="30">
        <v>93</v>
      </c>
      <c r="N95" s="81">
        <v>0</v>
      </c>
      <c r="O95" s="30">
        <f t="shared" si="16"/>
        <v>7051228.7247536965</v>
      </c>
      <c r="P95" s="30">
        <f t="shared" si="11"/>
        <v>6534234.9442219939</v>
      </c>
      <c r="Q95" s="30">
        <f t="shared" si="12"/>
        <v>-184371.71601896826</v>
      </c>
      <c r="R95" s="48">
        <f t="shared" si="13"/>
        <v>2.5481190887771E-2</v>
      </c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</row>
    <row r="96" spans="1:32" x14ac:dyDescent="0.2">
      <c r="A96" s="2">
        <v>43374</v>
      </c>
      <c r="B96">
        <f t="shared" si="14"/>
        <v>2018</v>
      </c>
      <c r="C96">
        <f t="shared" si="15"/>
        <v>10</v>
      </c>
      <c r="D96" s="88">
        <v>6341396.2313253004</v>
      </c>
      <c r="E96" s="88">
        <v>516993.78053170216</v>
      </c>
      <c r="F96" s="88">
        <v>6858390.011857003</v>
      </c>
      <c r="G96" s="78">
        <v>175.3</v>
      </c>
      <c r="H96" s="78">
        <v>18.100000000000001</v>
      </c>
      <c r="I96" s="78">
        <f t="shared" si="17"/>
        <v>107.70315789473716</v>
      </c>
      <c r="J96" s="78">
        <f t="shared" si="17"/>
        <v>25.808421052631616</v>
      </c>
      <c r="K96" s="30">
        <v>1</v>
      </c>
      <c r="L96" s="30">
        <v>2700</v>
      </c>
      <c r="M96" s="30">
        <v>94</v>
      </c>
      <c r="N96" s="81">
        <v>0</v>
      </c>
      <c r="O96" s="30">
        <f t="shared" si="16"/>
        <v>6664127.6208897429</v>
      </c>
      <c r="P96" s="30">
        <f t="shared" si="11"/>
        <v>6147133.8403580403</v>
      </c>
      <c r="Q96" s="30">
        <f t="shared" si="12"/>
        <v>-194262.39096726011</v>
      </c>
      <c r="R96" s="48">
        <f t="shared" si="13"/>
        <v>2.8324780397646257E-2</v>
      </c>
    </row>
    <row r="97" spans="1:39" x14ac:dyDescent="0.2">
      <c r="A97" s="2">
        <v>43405</v>
      </c>
      <c r="B97">
        <f t="shared" si="14"/>
        <v>2018</v>
      </c>
      <c r="C97">
        <f t="shared" si="15"/>
        <v>11</v>
      </c>
      <c r="D97" s="88">
        <v>6327373.6674698787</v>
      </c>
      <c r="E97" s="88">
        <v>516993.78053170216</v>
      </c>
      <c r="F97" s="88">
        <v>6844367.4480015812</v>
      </c>
      <c r="G97" s="78">
        <v>374.10000000000008</v>
      </c>
      <c r="H97" s="78">
        <v>0</v>
      </c>
      <c r="I97" s="78">
        <f t="shared" si="17"/>
        <v>305.31105263157906</v>
      </c>
      <c r="J97" s="78">
        <f t="shared" si="17"/>
        <v>1.3363157894737014</v>
      </c>
      <c r="K97" s="30">
        <v>1</v>
      </c>
      <c r="L97" s="30">
        <v>2703</v>
      </c>
      <c r="M97" s="30">
        <v>95</v>
      </c>
      <c r="N97" s="81">
        <v>0</v>
      </c>
      <c r="O97" s="30">
        <f t="shared" si="16"/>
        <v>6614368.8359286273</v>
      </c>
      <c r="P97" s="30">
        <f t="shared" si="11"/>
        <v>6097375.0553969247</v>
      </c>
      <c r="Q97" s="30">
        <f t="shared" si="12"/>
        <v>-229998.61207295395</v>
      </c>
      <c r="R97" s="48">
        <f t="shared" si="13"/>
        <v>3.3604071350685438E-2</v>
      </c>
    </row>
    <row r="98" spans="1:39" x14ac:dyDescent="0.2">
      <c r="A98" s="2">
        <v>43435</v>
      </c>
      <c r="B98">
        <f t="shared" si="14"/>
        <v>2018</v>
      </c>
      <c r="C98">
        <f t="shared" si="15"/>
        <v>12</v>
      </c>
      <c r="D98" s="88">
        <v>8214792.0096385563</v>
      </c>
      <c r="E98" s="88">
        <v>516993.78053170216</v>
      </c>
      <c r="F98" s="88">
        <v>8731785.7901702579</v>
      </c>
      <c r="G98" s="78">
        <v>439.59999999999997</v>
      </c>
      <c r="H98" s="78">
        <v>0</v>
      </c>
      <c r="I98" s="78">
        <f t="shared" si="17"/>
        <v>437.78421052631529</v>
      </c>
      <c r="J98" s="78">
        <f t="shared" si="17"/>
        <v>0</v>
      </c>
      <c r="K98" s="30">
        <v>0</v>
      </c>
      <c r="L98" s="30">
        <v>2702</v>
      </c>
      <c r="M98" s="30">
        <v>96</v>
      </c>
      <c r="N98" s="81">
        <v>0</v>
      </c>
      <c r="O98" s="30">
        <f t="shared" si="16"/>
        <v>8725539.5007957034</v>
      </c>
      <c r="P98" s="30">
        <f t="shared" si="11"/>
        <v>8208545.7202640008</v>
      </c>
      <c r="Q98" s="30">
        <f t="shared" si="12"/>
        <v>-6246.2893745545298</v>
      </c>
      <c r="R98" s="48">
        <f t="shared" si="13"/>
        <v>7.1535073404872611E-4</v>
      </c>
    </row>
    <row r="99" spans="1:39" s="8" customFormat="1" x14ac:dyDescent="0.2">
      <c r="A99" s="2">
        <v>43466</v>
      </c>
      <c r="B99">
        <f t="shared" si="14"/>
        <v>2019</v>
      </c>
      <c r="C99">
        <f t="shared" si="15"/>
        <v>1</v>
      </c>
      <c r="D99" s="88">
        <v>8493510.5734939743</v>
      </c>
      <c r="E99" s="88">
        <v>606940.22447486676</v>
      </c>
      <c r="F99" s="88">
        <v>9100450.7979688402</v>
      </c>
      <c r="G99" s="78">
        <v>640.5</v>
      </c>
      <c r="H99" s="78">
        <v>0</v>
      </c>
      <c r="I99" s="78">
        <f t="shared" ref="I99:J114" si="18">I111</f>
        <v>557.82052631578927</v>
      </c>
      <c r="J99" s="78">
        <f t="shared" si="18"/>
        <v>0</v>
      </c>
      <c r="K99" s="30">
        <v>0</v>
      </c>
      <c r="L99" s="30">
        <v>2692</v>
      </c>
      <c r="M99" s="30">
        <v>97</v>
      </c>
      <c r="N99" s="81">
        <v>0</v>
      </c>
      <c r="O99" s="30">
        <f t="shared" si="16"/>
        <v>8816034.6112621874</v>
      </c>
      <c r="P99" s="30">
        <f t="shared" si="11"/>
        <v>8209094.3867873205</v>
      </c>
      <c r="Q99" s="30">
        <f t="shared" si="12"/>
        <v>-284416.18670665286</v>
      </c>
      <c r="R99" s="48">
        <f t="shared" si="13"/>
        <v>3.1252977794257474E-2</v>
      </c>
      <c r="S99"/>
      <c r="T99"/>
      <c r="U99"/>
      <c r="V99"/>
      <c r="W99"/>
      <c r="X99"/>
      <c r="Y99"/>
      <c r="Z99"/>
      <c r="AA99"/>
      <c r="AB99"/>
      <c r="AC99"/>
      <c r="AD99"/>
      <c r="AE99" s="37"/>
      <c r="AF99" s="37"/>
      <c r="AG99" s="37"/>
      <c r="AH99" s="37"/>
      <c r="AI99" s="37"/>
      <c r="AJ99" s="37"/>
      <c r="AK99" s="37"/>
      <c r="AL99" s="37"/>
      <c r="AM99" s="37"/>
    </row>
    <row r="100" spans="1:39" x14ac:dyDescent="0.2">
      <c r="A100" s="2">
        <v>43497</v>
      </c>
      <c r="B100">
        <f t="shared" si="14"/>
        <v>2019</v>
      </c>
      <c r="C100">
        <f t="shared" si="15"/>
        <v>2</v>
      </c>
      <c r="D100" s="88">
        <v>7650394.8433734914</v>
      </c>
      <c r="E100" s="88">
        <v>606940.22447486676</v>
      </c>
      <c r="F100" s="88">
        <v>8257335.0678483583</v>
      </c>
      <c r="G100" s="78">
        <v>509.70000000000005</v>
      </c>
      <c r="H100" s="78">
        <v>0</v>
      </c>
      <c r="I100" s="78">
        <f t="shared" si="18"/>
        <v>513.95684210526292</v>
      </c>
      <c r="J100" s="78">
        <f t="shared" si="18"/>
        <v>0</v>
      </c>
      <c r="K100" s="30">
        <v>0</v>
      </c>
      <c r="L100" s="30">
        <v>2696</v>
      </c>
      <c r="M100" s="30">
        <v>98</v>
      </c>
      <c r="N100" s="81">
        <v>0</v>
      </c>
      <c r="O100" s="30">
        <f t="shared" si="16"/>
        <v>8271978.5427647009</v>
      </c>
      <c r="P100" s="30">
        <f t="shared" si="11"/>
        <v>7665038.3182898341</v>
      </c>
      <c r="Q100" s="30">
        <f t="shared" si="12"/>
        <v>14643.474916342646</v>
      </c>
      <c r="R100" s="48">
        <f t="shared" si="13"/>
        <v>1.7733899370706227E-3</v>
      </c>
    </row>
    <row r="101" spans="1:39" x14ac:dyDescent="0.2">
      <c r="A101" s="2">
        <v>43525</v>
      </c>
      <c r="B101">
        <f t="shared" si="14"/>
        <v>2019</v>
      </c>
      <c r="C101">
        <f t="shared" si="15"/>
        <v>3</v>
      </c>
      <c r="D101" s="88">
        <v>7603009.9566265009</v>
      </c>
      <c r="E101" s="88">
        <v>606940.22447486676</v>
      </c>
      <c r="F101" s="88">
        <v>8209950.1811013678</v>
      </c>
      <c r="G101" s="78">
        <v>469.9</v>
      </c>
      <c r="H101" s="78">
        <v>0</v>
      </c>
      <c r="I101" s="78">
        <f t="shared" si="18"/>
        <v>400.06210526315817</v>
      </c>
      <c r="J101" s="78">
        <f t="shared" si="18"/>
        <v>0.74263157894736409</v>
      </c>
      <c r="K101" s="30">
        <v>0</v>
      </c>
      <c r="L101" s="30">
        <v>2699</v>
      </c>
      <c r="M101" s="30">
        <v>99</v>
      </c>
      <c r="N101" s="81">
        <v>0</v>
      </c>
      <c r="O101" s="30">
        <f t="shared" si="16"/>
        <v>7973395.759476549</v>
      </c>
      <c r="P101" s="30">
        <f t="shared" si="11"/>
        <v>7366455.5350016821</v>
      </c>
      <c r="Q101" s="30">
        <f t="shared" si="12"/>
        <v>-236554.42162481882</v>
      </c>
      <c r="R101" s="48">
        <f t="shared" si="13"/>
        <v>2.8813137279364704E-2</v>
      </c>
    </row>
    <row r="102" spans="1:39" x14ac:dyDescent="0.2">
      <c r="A102" s="2">
        <v>43556</v>
      </c>
      <c r="B102">
        <f t="shared" si="14"/>
        <v>2019</v>
      </c>
      <c r="C102">
        <f t="shared" si="15"/>
        <v>4</v>
      </c>
      <c r="D102" s="88">
        <v>6777657.9951807288</v>
      </c>
      <c r="E102" s="88">
        <v>606940.22447486676</v>
      </c>
      <c r="F102" s="88">
        <v>7384598.2196555957</v>
      </c>
      <c r="G102" s="78">
        <v>226.80000000000004</v>
      </c>
      <c r="H102" s="78">
        <v>0</v>
      </c>
      <c r="I102" s="78">
        <f t="shared" si="18"/>
        <v>225.72052631578936</v>
      </c>
      <c r="J102" s="78">
        <f t="shared" si="18"/>
        <v>0</v>
      </c>
      <c r="K102" s="30">
        <v>0</v>
      </c>
      <c r="L102" s="30">
        <v>2695</v>
      </c>
      <c r="M102" s="30">
        <v>100</v>
      </c>
      <c r="N102" s="81">
        <v>0</v>
      </c>
      <c r="O102" s="30">
        <f t="shared" si="16"/>
        <v>7380884.8458853895</v>
      </c>
      <c r="P102" s="30">
        <f t="shared" si="11"/>
        <v>6773944.6214105226</v>
      </c>
      <c r="Q102" s="30">
        <f t="shared" si="12"/>
        <v>-3713.3737702062353</v>
      </c>
      <c r="R102" s="48">
        <f t="shared" si="13"/>
        <v>5.0285386689317003E-4</v>
      </c>
    </row>
    <row r="103" spans="1:39" x14ac:dyDescent="0.2">
      <c r="A103" s="2">
        <v>43586</v>
      </c>
      <c r="B103">
        <f t="shared" si="14"/>
        <v>2019</v>
      </c>
      <c r="C103">
        <f t="shared" si="15"/>
        <v>5</v>
      </c>
      <c r="D103" s="88">
        <v>6404967.7975903675</v>
      </c>
      <c r="E103" s="88">
        <v>606940.22447486676</v>
      </c>
      <c r="F103" s="88">
        <v>7011908.0220652344</v>
      </c>
      <c r="G103" s="78">
        <v>87.700000000000017</v>
      </c>
      <c r="H103" s="78">
        <v>18.7</v>
      </c>
      <c r="I103" s="78">
        <f t="shared" si="18"/>
        <v>59.688947368421054</v>
      </c>
      <c r="J103" s="78">
        <f t="shared" si="18"/>
        <v>80.273684210525971</v>
      </c>
      <c r="K103" s="30">
        <v>0</v>
      </c>
      <c r="L103" s="30">
        <v>2691</v>
      </c>
      <c r="M103" s="30">
        <v>101</v>
      </c>
      <c r="N103" s="81">
        <v>0</v>
      </c>
      <c r="O103" s="30">
        <f t="shared" si="16"/>
        <v>7221243.3975217734</v>
      </c>
      <c r="P103" s="30">
        <f t="shared" si="11"/>
        <v>6614303.1730469065</v>
      </c>
      <c r="Q103" s="30">
        <f t="shared" si="12"/>
        <v>209335.37545653898</v>
      </c>
      <c r="R103" s="48">
        <f t="shared" si="13"/>
        <v>2.9854267169192407E-2</v>
      </c>
    </row>
    <row r="104" spans="1:39" x14ac:dyDescent="0.2">
      <c r="A104" s="2">
        <v>43617</v>
      </c>
      <c r="B104">
        <f t="shared" si="14"/>
        <v>2019</v>
      </c>
      <c r="C104">
        <f t="shared" si="15"/>
        <v>6</v>
      </c>
      <c r="D104" s="88">
        <v>6035483.3349397592</v>
      </c>
      <c r="E104" s="88">
        <v>606940.22447486676</v>
      </c>
      <c r="F104" s="88">
        <v>6642423.5594146261</v>
      </c>
      <c r="G104" s="78">
        <v>4.2000000000000011</v>
      </c>
      <c r="H104" s="78">
        <v>130</v>
      </c>
      <c r="I104" s="78">
        <f t="shared" si="18"/>
        <v>1.08894736842106</v>
      </c>
      <c r="J104" s="78">
        <f t="shared" si="18"/>
        <v>177.38052631578967</v>
      </c>
      <c r="K104" s="30">
        <v>0</v>
      </c>
      <c r="L104" s="30">
        <v>2687</v>
      </c>
      <c r="M104" s="30">
        <v>102</v>
      </c>
      <c r="N104" s="81">
        <v>0</v>
      </c>
      <c r="O104" s="30">
        <f t="shared" si="16"/>
        <v>6866950.235220436</v>
      </c>
      <c r="P104" s="30">
        <f t="shared" si="11"/>
        <v>6260010.0107455691</v>
      </c>
      <c r="Q104" s="30">
        <f t="shared" si="12"/>
        <v>224526.67580580991</v>
      </c>
      <c r="R104" s="48">
        <f t="shared" si="13"/>
        <v>3.3801920909963271E-2</v>
      </c>
    </row>
    <row r="105" spans="1:39" x14ac:dyDescent="0.2">
      <c r="A105" s="2">
        <v>43647</v>
      </c>
      <c r="B105">
        <f t="shared" si="14"/>
        <v>2019</v>
      </c>
      <c r="C105">
        <f t="shared" si="15"/>
        <v>7</v>
      </c>
      <c r="D105" s="88">
        <v>7346858.1783132479</v>
      </c>
      <c r="E105" s="88">
        <v>606940.22447486676</v>
      </c>
      <c r="F105" s="88">
        <v>7953798.4027881147</v>
      </c>
      <c r="G105" s="78">
        <v>0</v>
      </c>
      <c r="H105" s="78">
        <v>290.89999999999992</v>
      </c>
      <c r="I105" s="78">
        <f t="shared" si="18"/>
        <v>0</v>
      </c>
      <c r="J105" s="78">
        <f t="shared" si="18"/>
        <v>273.7568421052631</v>
      </c>
      <c r="K105" s="30">
        <v>0</v>
      </c>
      <c r="L105" s="30">
        <v>2688</v>
      </c>
      <c r="M105" s="30">
        <v>103</v>
      </c>
      <c r="N105" s="81">
        <v>0</v>
      </c>
      <c r="O105" s="30">
        <f t="shared" si="16"/>
        <v>7868688.2904841062</v>
      </c>
      <c r="P105" s="30">
        <f t="shared" si="11"/>
        <v>7261748.0660092393</v>
      </c>
      <c r="Q105" s="30">
        <f t="shared" si="12"/>
        <v>-85110.112304008566</v>
      </c>
      <c r="R105" s="48">
        <f t="shared" si="13"/>
        <v>1.0700561919469088E-2</v>
      </c>
    </row>
    <row r="106" spans="1:39" x14ac:dyDescent="0.2">
      <c r="A106" s="2">
        <v>43678</v>
      </c>
      <c r="B106">
        <f t="shared" si="14"/>
        <v>2019</v>
      </c>
      <c r="C106">
        <f t="shared" si="15"/>
        <v>8</v>
      </c>
      <c r="D106" s="88">
        <v>7213289.7060240963</v>
      </c>
      <c r="E106" s="88">
        <v>606940.22447486676</v>
      </c>
      <c r="F106" s="88">
        <v>7820229.9304989632</v>
      </c>
      <c r="G106" s="78">
        <v>0</v>
      </c>
      <c r="H106" s="78">
        <v>226.40000000000006</v>
      </c>
      <c r="I106" s="78">
        <f t="shared" si="18"/>
        <v>0</v>
      </c>
      <c r="J106" s="78">
        <f t="shared" si="18"/>
        <v>253.05789473684217</v>
      </c>
      <c r="K106" s="30">
        <v>0</v>
      </c>
      <c r="L106" s="30">
        <v>2684</v>
      </c>
      <c r="M106" s="30">
        <v>104</v>
      </c>
      <c r="N106" s="81">
        <v>0</v>
      </c>
      <c r="O106" s="30">
        <f t="shared" si="16"/>
        <v>7952577.5661430145</v>
      </c>
      <c r="P106" s="30">
        <f t="shared" si="11"/>
        <v>7345637.3416681476</v>
      </c>
      <c r="Q106" s="30">
        <f t="shared" si="12"/>
        <v>132347.63564405125</v>
      </c>
      <c r="R106" s="48">
        <f t="shared" si="13"/>
        <v>1.6923752475345302E-2</v>
      </c>
    </row>
    <row r="107" spans="1:39" x14ac:dyDescent="0.2">
      <c r="A107" s="2">
        <v>43709</v>
      </c>
      <c r="B107">
        <f t="shared" si="14"/>
        <v>2019</v>
      </c>
      <c r="C107">
        <f t="shared" si="15"/>
        <v>9</v>
      </c>
      <c r="D107" s="88">
        <v>6412383.0746987946</v>
      </c>
      <c r="E107" s="88">
        <v>606940.22447486676</v>
      </c>
      <c r="F107" s="88">
        <v>7019323.2991736615</v>
      </c>
      <c r="G107" s="78">
        <v>2.5999999999999979</v>
      </c>
      <c r="H107" s="78">
        <v>109.6</v>
      </c>
      <c r="I107" s="78">
        <f t="shared" si="18"/>
        <v>9.9542105263157907</v>
      </c>
      <c r="J107" s="78">
        <f t="shared" si="18"/>
        <v>120.49421052631581</v>
      </c>
      <c r="K107" s="30">
        <v>1</v>
      </c>
      <c r="L107" s="30">
        <v>2683</v>
      </c>
      <c r="M107" s="30">
        <v>105</v>
      </c>
      <c r="N107" s="81">
        <v>0</v>
      </c>
      <c r="O107" s="30">
        <f t="shared" si="16"/>
        <v>7098707.8305992652</v>
      </c>
      <c r="P107" s="30">
        <f t="shared" si="11"/>
        <v>6491767.6061243983</v>
      </c>
      <c r="Q107" s="30">
        <f t="shared" si="12"/>
        <v>79384.531425603665</v>
      </c>
      <c r="R107" s="48">
        <f t="shared" si="13"/>
        <v>1.1309427994996195E-2</v>
      </c>
    </row>
    <row r="108" spans="1:39" x14ac:dyDescent="0.2">
      <c r="A108" s="2">
        <v>43739</v>
      </c>
      <c r="B108">
        <f t="shared" si="14"/>
        <v>2019</v>
      </c>
      <c r="C108">
        <f t="shared" si="15"/>
        <v>10</v>
      </c>
      <c r="D108" s="88">
        <v>6175914.5445783148</v>
      </c>
      <c r="E108" s="88">
        <v>606940.22447486676</v>
      </c>
      <c r="F108" s="88">
        <v>6782854.7690531816</v>
      </c>
      <c r="G108" s="78">
        <v>119.39999999999999</v>
      </c>
      <c r="H108" s="78">
        <v>12.000000000000004</v>
      </c>
      <c r="I108" s="78">
        <f t="shared" si="18"/>
        <v>107.70315789473716</v>
      </c>
      <c r="J108" s="78">
        <f t="shared" si="18"/>
        <v>25.808421052631616</v>
      </c>
      <c r="K108" s="30">
        <v>1</v>
      </c>
      <c r="L108" s="30">
        <v>2694</v>
      </c>
      <c r="M108" s="30">
        <v>106</v>
      </c>
      <c r="N108" s="81">
        <v>0</v>
      </c>
      <c r="O108" s="30">
        <f t="shared" si="16"/>
        <v>6811172.0485439776</v>
      </c>
      <c r="P108" s="30">
        <f t="shared" si="11"/>
        <v>6204231.8240691107</v>
      </c>
      <c r="Q108" s="30">
        <f t="shared" si="12"/>
        <v>28317.279490795918</v>
      </c>
      <c r="R108" s="48">
        <f t="shared" si="13"/>
        <v>4.1748320515417325E-3</v>
      </c>
    </row>
    <row r="109" spans="1:39" x14ac:dyDescent="0.2">
      <c r="A109" s="2">
        <v>43770</v>
      </c>
      <c r="B109">
        <f t="shared" si="14"/>
        <v>2019</v>
      </c>
      <c r="C109">
        <f t="shared" si="15"/>
        <v>11</v>
      </c>
      <c r="D109" s="88">
        <v>6158689.3783132555</v>
      </c>
      <c r="E109" s="88">
        <v>606940.22447486676</v>
      </c>
      <c r="F109" s="88">
        <v>6765629.6027881224</v>
      </c>
      <c r="G109" s="78">
        <v>393.30000000000007</v>
      </c>
      <c r="H109" s="78">
        <v>0</v>
      </c>
      <c r="I109" s="78">
        <f t="shared" si="18"/>
        <v>305.31105263157906</v>
      </c>
      <c r="J109" s="78">
        <f t="shared" si="18"/>
        <v>1.3363157894737014</v>
      </c>
      <c r="K109" s="30">
        <v>1</v>
      </c>
      <c r="L109" s="30">
        <v>2694</v>
      </c>
      <c r="M109" s="30">
        <v>107</v>
      </c>
      <c r="N109" s="81">
        <v>0</v>
      </c>
      <c r="O109" s="30">
        <f t="shared" si="16"/>
        <v>6469583.27002424</v>
      </c>
      <c r="P109" s="30">
        <f t="shared" si="11"/>
        <v>5862643.0455493731</v>
      </c>
      <c r="Q109" s="30">
        <f t="shared" si="12"/>
        <v>-296046.33276388235</v>
      </c>
      <c r="R109" s="48">
        <f t="shared" si="13"/>
        <v>4.375739585889854E-2</v>
      </c>
    </row>
    <row r="110" spans="1:39" x14ac:dyDescent="0.2">
      <c r="A110" s="2">
        <v>43800</v>
      </c>
      <c r="B110">
        <f t="shared" si="14"/>
        <v>2019</v>
      </c>
      <c r="C110">
        <f t="shared" si="15"/>
        <v>12</v>
      </c>
      <c r="D110" s="88">
        <v>7536491.3638554169</v>
      </c>
      <c r="E110" s="88">
        <v>606940.22447486676</v>
      </c>
      <c r="F110" s="88">
        <v>8143431.5883302838</v>
      </c>
      <c r="G110" s="78">
        <v>458.39999999999992</v>
      </c>
      <c r="H110" s="78">
        <v>0</v>
      </c>
      <c r="I110" s="78">
        <f t="shared" si="18"/>
        <v>437.78421052631529</v>
      </c>
      <c r="J110" s="78">
        <f t="shared" si="18"/>
        <v>0</v>
      </c>
      <c r="K110" s="30">
        <v>0</v>
      </c>
      <c r="L110" s="30">
        <v>2697</v>
      </c>
      <c r="M110" s="30">
        <v>108</v>
      </c>
      <c r="N110" s="81">
        <v>0</v>
      </c>
      <c r="O110" s="30">
        <f t="shared" si="16"/>
        <v>8072513.5724458611</v>
      </c>
      <c r="P110" s="30">
        <f t="shared" si="11"/>
        <v>7465573.3479709942</v>
      </c>
      <c r="Q110" s="30">
        <f t="shared" si="12"/>
        <v>-70918.015884422697</v>
      </c>
      <c r="R110" s="48">
        <f t="shared" si="13"/>
        <v>8.7086156634568861E-3</v>
      </c>
    </row>
    <row r="111" spans="1:39" x14ac:dyDescent="0.2">
      <c r="A111" s="2">
        <v>43831</v>
      </c>
      <c r="B111">
        <f t="shared" si="14"/>
        <v>2020</v>
      </c>
      <c r="C111">
        <f t="shared" si="15"/>
        <v>1</v>
      </c>
      <c r="D111" s="88">
        <v>8484041.1759036183</v>
      </c>
      <c r="E111" s="88">
        <v>649812.80140259408</v>
      </c>
      <c r="F111" s="88">
        <v>9133853.9773062132</v>
      </c>
      <c r="G111" s="78">
        <v>481</v>
      </c>
      <c r="H111" s="78">
        <v>0</v>
      </c>
      <c r="I111" s="78">
        <f t="shared" si="18"/>
        <v>557.82052631578927</v>
      </c>
      <c r="J111" s="78">
        <f t="shared" si="18"/>
        <v>0</v>
      </c>
      <c r="K111" s="30">
        <v>0</v>
      </c>
      <c r="L111" s="30">
        <v>2693</v>
      </c>
      <c r="M111" s="30">
        <v>109</v>
      </c>
      <c r="N111" s="81">
        <v>0</v>
      </c>
      <c r="O111" s="30">
        <f t="shared" si="16"/>
        <v>9398115.4702976383</v>
      </c>
      <c r="P111" s="30">
        <f t="shared" si="11"/>
        <v>8748302.6688950434</v>
      </c>
      <c r="Q111" s="30">
        <f t="shared" si="12"/>
        <v>264261.4929914251</v>
      </c>
      <c r="R111" s="48">
        <f t="shared" si="13"/>
        <v>2.8932090840077342E-2</v>
      </c>
      <c r="S111" s="11"/>
      <c r="AE111" s="37"/>
      <c r="AF111" s="37"/>
      <c r="AG111" s="37"/>
    </row>
    <row r="112" spans="1:39" x14ac:dyDescent="0.2">
      <c r="A112" s="2">
        <v>43862</v>
      </c>
      <c r="B112">
        <f t="shared" si="14"/>
        <v>2020</v>
      </c>
      <c r="C112">
        <f t="shared" si="15"/>
        <v>2</v>
      </c>
      <c r="D112" s="88">
        <v>7437125.9180722833</v>
      </c>
      <c r="E112" s="88">
        <v>649812.80140259408</v>
      </c>
      <c r="F112" s="88">
        <v>8086938.7194748772</v>
      </c>
      <c r="G112" s="78">
        <v>495.8</v>
      </c>
      <c r="H112" s="78">
        <v>0</v>
      </c>
      <c r="I112" s="78">
        <f t="shared" si="18"/>
        <v>513.95684210526292</v>
      </c>
      <c r="J112" s="78">
        <f t="shared" si="18"/>
        <v>0</v>
      </c>
      <c r="K112" s="30">
        <v>0</v>
      </c>
      <c r="L112" s="30">
        <v>2694</v>
      </c>
      <c r="M112" s="30">
        <v>110</v>
      </c>
      <c r="N112" s="81">
        <v>0</v>
      </c>
      <c r="O112" s="30">
        <f t="shared" si="16"/>
        <v>8149397.9921830902</v>
      </c>
      <c r="P112" s="30">
        <f t="shared" si="11"/>
        <v>7499585.1907804962</v>
      </c>
      <c r="Q112" s="30">
        <f t="shared" si="12"/>
        <v>62459.272708212957</v>
      </c>
      <c r="R112" s="48">
        <f t="shared" si="13"/>
        <v>7.7234754552794153E-3</v>
      </c>
    </row>
    <row r="113" spans="1:18" x14ac:dyDescent="0.2">
      <c r="A113" s="2">
        <v>43891</v>
      </c>
      <c r="B113">
        <f t="shared" si="14"/>
        <v>2020</v>
      </c>
      <c r="C113">
        <f t="shared" si="15"/>
        <v>3</v>
      </c>
      <c r="D113" s="88">
        <v>7029333.0698795123</v>
      </c>
      <c r="E113" s="88">
        <v>649812.80140259408</v>
      </c>
      <c r="F113" s="88">
        <v>7679145.8712821063</v>
      </c>
      <c r="G113" s="78">
        <v>334.7</v>
      </c>
      <c r="H113" s="78">
        <v>0</v>
      </c>
      <c r="I113" s="78">
        <f t="shared" si="18"/>
        <v>400.06210526315817</v>
      </c>
      <c r="J113" s="78">
        <f t="shared" si="18"/>
        <v>0.74263157894736409</v>
      </c>
      <c r="K113" s="30">
        <v>0</v>
      </c>
      <c r="L113" s="30">
        <v>2707</v>
      </c>
      <c r="M113" s="30">
        <v>111</v>
      </c>
      <c r="N113" s="81">
        <v>0.5</v>
      </c>
      <c r="O113" s="30">
        <f t="shared" si="16"/>
        <v>7907677.4828559095</v>
      </c>
      <c r="P113" s="30">
        <f t="shared" si="11"/>
        <v>7257864.6814533155</v>
      </c>
      <c r="Q113" s="30">
        <f t="shared" si="12"/>
        <v>228531.61157380324</v>
      </c>
      <c r="R113" s="48">
        <f t="shared" si="13"/>
        <v>2.9760030009124923E-2</v>
      </c>
    </row>
    <row r="114" spans="1:18" x14ac:dyDescent="0.2">
      <c r="A114" s="2">
        <v>43922</v>
      </c>
      <c r="B114">
        <f t="shared" si="14"/>
        <v>2020</v>
      </c>
      <c r="C114">
        <f t="shared" si="15"/>
        <v>4</v>
      </c>
      <c r="D114" s="88">
        <v>6060516.9927710835</v>
      </c>
      <c r="E114" s="88">
        <v>649812.80140259408</v>
      </c>
      <c r="F114" s="88">
        <v>6710329.7941736775</v>
      </c>
      <c r="G114" s="78">
        <v>242.3</v>
      </c>
      <c r="H114" s="78">
        <v>0</v>
      </c>
      <c r="I114" s="78">
        <f t="shared" si="18"/>
        <v>225.72052631578936</v>
      </c>
      <c r="J114" s="78">
        <f t="shared" si="18"/>
        <v>0</v>
      </c>
      <c r="K114" s="30">
        <v>0</v>
      </c>
      <c r="L114" s="30">
        <v>2708</v>
      </c>
      <c r="M114" s="30">
        <v>112</v>
      </c>
      <c r="N114" s="81">
        <v>1</v>
      </c>
      <c r="O114" s="30">
        <f t="shared" si="16"/>
        <v>6653296.6458873572</v>
      </c>
      <c r="P114" s="30">
        <f t="shared" si="11"/>
        <v>6003483.8444847632</v>
      </c>
      <c r="Q114" s="30">
        <f t="shared" si="12"/>
        <v>-57033.148286320269</v>
      </c>
      <c r="R114" s="48">
        <f t="shared" si="13"/>
        <v>8.4993062987515113E-3</v>
      </c>
    </row>
    <row r="115" spans="1:18" x14ac:dyDescent="0.2">
      <c r="A115" s="2">
        <v>43952</v>
      </c>
      <c r="B115">
        <f t="shared" si="14"/>
        <v>2020</v>
      </c>
      <c r="C115">
        <f t="shared" si="15"/>
        <v>5</v>
      </c>
      <c r="D115" s="88">
        <v>5500006.03373494</v>
      </c>
      <c r="E115" s="88">
        <v>649812.80140259408</v>
      </c>
      <c r="F115" s="88">
        <v>6149818.835137534</v>
      </c>
      <c r="G115" s="78">
        <v>116.19999999999999</v>
      </c>
      <c r="H115" s="78">
        <v>56.300000000000004</v>
      </c>
      <c r="I115" s="78">
        <f t="shared" ref="I115:J130" si="19">I127</f>
        <v>59.688947368421054</v>
      </c>
      <c r="J115" s="78">
        <f t="shared" si="19"/>
        <v>80.273684210525971</v>
      </c>
      <c r="K115" s="30">
        <v>0</v>
      </c>
      <c r="L115" s="30">
        <v>2709</v>
      </c>
      <c r="M115" s="30">
        <v>113</v>
      </c>
      <c r="N115" s="81">
        <v>1</v>
      </c>
      <c r="O115" s="30">
        <f t="shared" si="16"/>
        <v>6074443.0538131995</v>
      </c>
      <c r="P115" s="30">
        <f t="shared" si="11"/>
        <v>5424630.2524106055</v>
      </c>
      <c r="Q115" s="30">
        <f t="shared" si="12"/>
        <v>-75375.781324334443</v>
      </c>
      <c r="R115" s="48">
        <f t="shared" si="13"/>
        <v>1.2256585656421006E-2</v>
      </c>
    </row>
    <row r="116" spans="1:18" x14ac:dyDescent="0.2">
      <c r="A116" s="2">
        <v>43983</v>
      </c>
      <c r="B116">
        <f t="shared" si="14"/>
        <v>2020</v>
      </c>
      <c r="C116">
        <f t="shared" si="15"/>
        <v>6</v>
      </c>
      <c r="D116" s="88">
        <v>6178943.248192776</v>
      </c>
      <c r="E116" s="88">
        <v>649812.80140259408</v>
      </c>
      <c r="F116" s="88">
        <v>6828756.04959537</v>
      </c>
      <c r="G116" s="78">
        <v>2.0999999999999996</v>
      </c>
      <c r="H116" s="78">
        <v>196.00000000000003</v>
      </c>
      <c r="I116" s="78">
        <f t="shared" si="19"/>
        <v>1.08894736842106</v>
      </c>
      <c r="J116" s="78">
        <f t="shared" si="19"/>
        <v>177.38052631578967</v>
      </c>
      <c r="K116" s="30">
        <v>0</v>
      </c>
      <c r="L116" s="30">
        <v>2721</v>
      </c>
      <c r="M116" s="30">
        <v>114</v>
      </c>
      <c r="N116" s="81">
        <v>0.5</v>
      </c>
      <c r="O116" s="30">
        <f t="shared" si="16"/>
        <v>6732838.5110459458</v>
      </c>
      <c r="P116" s="30">
        <f t="shared" si="11"/>
        <v>6083025.7096433518</v>
      </c>
      <c r="Q116" s="30">
        <f t="shared" si="12"/>
        <v>-95917.538549424149</v>
      </c>
      <c r="R116" s="48">
        <f t="shared" si="13"/>
        <v>1.4046121702518226E-2</v>
      </c>
    </row>
    <row r="117" spans="1:18" x14ac:dyDescent="0.2">
      <c r="A117" s="2">
        <v>44013</v>
      </c>
      <c r="B117">
        <f t="shared" si="14"/>
        <v>2020</v>
      </c>
      <c r="C117">
        <f t="shared" si="15"/>
        <v>7</v>
      </c>
      <c r="D117" s="88">
        <v>7125657.9277108368</v>
      </c>
      <c r="E117" s="88">
        <v>649812.80140259408</v>
      </c>
      <c r="F117" s="88">
        <v>7775470.7291134307</v>
      </c>
      <c r="G117" s="78">
        <v>0</v>
      </c>
      <c r="H117" s="78">
        <v>339.70000000000005</v>
      </c>
      <c r="I117" s="78">
        <f t="shared" si="19"/>
        <v>0</v>
      </c>
      <c r="J117" s="78">
        <f t="shared" si="19"/>
        <v>273.7568421052631</v>
      </c>
      <c r="K117" s="30">
        <v>0</v>
      </c>
      <c r="L117" s="30">
        <v>2724</v>
      </c>
      <c r="M117" s="30">
        <v>115</v>
      </c>
      <c r="N117" s="81">
        <v>0.5</v>
      </c>
      <c r="O117" s="30">
        <f t="shared" si="16"/>
        <v>7448084.7475711899</v>
      </c>
      <c r="P117" s="30">
        <f t="shared" si="11"/>
        <v>6798271.9461685959</v>
      </c>
      <c r="Q117" s="30">
        <f t="shared" si="12"/>
        <v>-327385.98154224083</v>
      </c>
      <c r="R117" s="48">
        <f t="shared" si="13"/>
        <v>4.2104972540944773E-2</v>
      </c>
    </row>
    <row r="118" spans="1:18" x14ac:dyDescent="0.2">
      <c r="A118" s="2">
        <v>44044</v>
      </c>
      <c r="B118">
        <f t="shared" si="14"/>
        <v>2020</v>
      </c>
      <c r="C118">
        <f t="shared" si="15"/>
        <v>8</v>
      </c>
      <c r="D118" s="88">
        <v>6952279.6530120457</v>
      </c>
      <c r="E118" s="88">
        <v>649812.80140259408</v>
      </c>
      <c r="F118" s="88">
        <v>7602092.4544146396</v>
      </c>
      <c r="G118" s="78">
        <v>0</v>
      </c>
      <c r="H118" s="78">
        <v>249.89999999999998</v>
      </c>
      <c r="I118" s="78">
        <f t="shared" si="19"/>
        <v>0</v>
      </c>
      <c r="J118" s="78">
        <f t="shared" si="19"/>
        <v>253.05789473684217</v>
      </c>
      <c r="K118" s="30">
        <v>0</v>
      </c>
      <c r="L118" s="30">
        <v>2731</v>
      </c>
      <c r="M118" s="30">
        <v>116</v>
      </c>
      <c r="N118" s="81">
        <v>0.5</v>
      </c>
      <c r="O118" s="30">
        <f t="shared" si="16"/>
        <v>7617770.3579460187</v>
      </c>
      <c r="P118" s="30">
        <f t="shared" si="11"/>
        <v>6967957.5565434247</v>
      </c>
      <c r="Q118" s="30">
        <f t="shared" si="12"/>
        <v>15677.903531379066</v>
      </c>
      <c r="R118" s="48">
        <f t="shared" si="13"/>
        <v>2.0623142411632591E-3</v>
      </c>
    </row>
    <row r="119" spans="1:18" x14ac:dyDescent="0.2">
      <c r="A119" s="2">
        <v>44075</v>
      </c>
      <c r="B119">
        <f t="shared" si="14"/>
        <v>2020</v>
      </c>
      <c r="C119">
        <f t="shared" si="15"/>
        <v>9</v>
      </c>
      <c r="D119" s="88">
        <v>6152713.3975903597</v>
      </c>
      <c r="E119" s="88">
        <v>649812.80140259408</v>
      </c>
      <c r="F119" s="88">
        <v>6802526.1989929536</v>
      </c>
      <c r="G119" s="78">
        <v>15.899999999999999</v>
      </c>
      <c r="H119" s="78">
        <v>100.10000000000001</v>
      </c>
      <c r="I119" s="78">
        <f t="shared" si="19"/>
        <v>9.9542105263157907</v>
      </c>
      <c r="J119" s="78">
        <f t="shared" si="19"/>
        <v>120.49421052631581</v>
      </c>
      <c r="K119" s="30">
        <v>1</v>
      </c>
      <c r="L119" s="30">
        <v>2734</v>
      </c>
      <c r="M119" s="30">
        <v>117</v>
      </c>
      <c r="N119" s="81">
        <v>0.5</v>
      </c>
      <c r="O119" s="30">
        <f t="shared" si="16"/>
        <v>6883323.2836885089</v>
      </c>
      <c r="P119" s="30">
        <f t="shared" si="11"/>
        <v>6233510.4822859149</v>
      </c>
      <c r="Q119" s="30">
        <f t="shared" si="12"/>
        <v>80797.08469555527</v>
      </c>
      <c r="R119" s="48">
        <f t="shared" si="13"/>
        <v>1.1877511726087357E-2</v>
      </c>
    </row>
    <row r="120" spans="1:18" x14ac:dyDescent="0.2">
      <c r="A120" s="2">
        <v>44105</v>
      </c>
      <c r="B120">
        <f t="shared" si="14"/>
        <v>2020</v>
      </c>
      <c r="C120">
        <f t="shared" si="15"/>
        <v>10</v>
      </c>
      <c r="D120" s="88">
        <v>6063787.8939759014</v>
      </c>
      <c r="E120" s="88">
        <v>649812.80140259408</v>
      </c>
      <c r="F120" s="88">
        <v>6713600.6953784954</v>
      </c>
      <c r="G120" s="78">
        <v>149.90000000000003</v>
      </c>
      <c r="H120" s="78">
        <v>3.5999999999999996</v>
      </c>
      <c r="I120" s="78">
        <f t="shared" si="19"/>
        <v>107.70315789473716</v>
      </c>
      <c r="J120" s="78">
        <f t="shared" si="19"/>
        <v>25.808421052631616</v>
      </c>
      <c r="K120" s="30">
        <v>1</v>
      </c>
      <c r="L120" s="30">
        <v>2744</v>
      </c>
      <c r="M120" s="30">
        <v>118</v>
      </c>
      <c r="N120" s="81">
        <v>0.5</v>
      </c>
      <c r="O120" s="30">
        <f t="shared" si="16"/>
        <v>6678701.6419568546</v>
      </c>
      <c r="P120" s="30">
        <f t="shared" si="11"/>
        <v>6028888.8405542606</v>
      </c>
      <c r="Q120" s="30">
        <f t="shared" si="12"/>
        <v>-34899.053421640769</v>
      </c>
      <c r="R120" s="48">
        <f t="shared" si="13"/>
        <v>5.198261708603635E-3</v>
      </c>
    </row>
    <row r="121" spans="1:18" x14ac:dyDescent="0.2">
      <c r="A121" s="2">
        <v>44136</v>
      </c>
      <c r="B121">
        <f t="shared" si="14"/>
        <v>2020</v>
      </c>
      <c r="C121">
        <f t="shared" si="15"/>
        <v>11</v>
      </c>
      <c r="D121" s="88">
        <v>5989978.6987951752</v>
      </c>
      <c r="E121" s="88">
        <v>649812.80140259408</v>
      </c>
      <c r="F121" s="88">
        <v>6639791.5001977691</v>
      </c>
      <c r="G121" s="78">
        <v>220.39999999999998</v>
      </c>
      <c r="H121" s="78">
        <v>5.6000000000000014</v>
      </c>
      <c r="I121" s="78">
        <f t="shared" si="19"/>
        <v>305.31105263157906</v>
      </c>
      <c r="J121" s="78">
        <f t="shared" si="19"/>
        <v>1.3363157894737014</v>
      </c>
      <c r="K121" s="30">
        <v>1</v>
      </c>
      <c r="L121" s="30">
        <v>2753</v>
      </c>
      <c r="M121" s="30">
        <v>119</v>
      </c>
      <c r="N121" s="81">
        <v>0.5</v>
      </c>
      <c r="O121" s="30">
        <f t="shared" si="16"/>
        <v>6910716.5032685315</v>
      </c>
      <c r="P121" s="30">
        <f t="shared" si="11"/>
        <v>6260903.7018659376</v>
      </c>
      <c r="Q121" s="30">
        <f t="shared" si="12"/>
        <v>270925.00307076238</v>
      </c>
      <c r="R121" s="48">
        <f t="shared" si="13"/>
        <v>4.0803239538875997E-2</v>
      </c>
    </row>
    <row r="122" spans="1:18" x14ac:dyDescent="0.2">
      <c r="A122" s="2">
        <v>44166</v>
      </c>
      <c r="B122">
        <f t="shared" si="14"/>
        <v>2020</v>
      </c>
      <c r="C122">
        <f t="shared" si="15"/>
        <v>12</v>
      </c>
      <c r="D122" s="88">
        <v>6720380.9831325309</v>
      </c>
      <c r="E122" s="88">
        <v>649812.80140259408</v>
      </c>
      <c r="F122" s="88">
        <v>7370193.7845351249</v>
      </c>
      <c r="G122" s="78">
        <v>443.3</v>
      </c>
      <c r="H122" s="78">
        <v>0</v>
      </c>
      <c r="I122" s="78">
        <f t="shared" si="19"/>
        <v>437.78421052631529</v>
      </c>
      <c r="J122" s="78">
        <f t="shared" si="19"/>
        <v>0</v>
      </c>
      <c r="K122" s="30">
        <v>0</v>
      </c>
      <c r="L122" s="30">
        <v>2781</v>
      </c>
      <c r="M122" s="30">
        <v>120</v>
      </c>
      <c r="N122" s="81">
        <v>0.5</v>
      </c>
      <c r="O122" s="30">
        <f t="shared" si="16"/>
        <v>7351219.5489857551</v>
      </c>
      <c r="P122" s="30">
        <f t="shared" si="11"/>
        <v>6701406.7475831611</v>
      </c>
      <c r="Q122" s="30">
        <f t="shared" si="12"/>
        <v>-18974.235549369827</v>
      </c>
      <c r="R122" s="48">
        <f t="shared" si="13"/>
        <v>2.5744554490797051E-3</v>
      </c>
    </row>
    <row r="123" spans="1:18" x14ac:dyDescent="0.2">
      <c r="A123" s="2">
        <v>44197</v>
      </c>
      <c r="B123">
        <f t="shared" si="14"/>
        <v>2021</v>
      </c>
      <c r="C123">
        <f t="shared" si="15"/>
        <v>1</v>
      </c>
      <c r="D123" s="88">
        <v>8317144.8867469896</v>
      </c>
      <c r="E123" s="88">
        <v>735626.19902410684</v>
      </c>
      <c r="F123" s="88">
        <v>9052771.0857710969</v>
      </c>
      <c r="G123" s="78">
        <v>516</v>
      </c>
      <c r="H123" s="78">
        <v>0</v>
      </c>
      <c r="I123" s="78">
        <f t="shared" si="19"/>
        <v>557.82052631578927</v>
      </c>
      <c r="J123" s="78">
        <f t="shared" si="19"/>
        <v>0</v>
      </c>
      <c r="K123" s="30">
        <v>0</v>
      </c>
      <c r="L123" s="30">
        <v>2807</v>
      </c>
      <c r="M123" s="30">
        <v>121</v>
      </c>
      <c r="N123" s="81">
        <v>0.5</v>
      </c>
      <c r="O123" s="30">
        <f t="shared" si="16"/>
        <v>9196633.0879196841</v>
      </c>
      <c r="P123" s="30">
        <f t="shared" si="11"/>
        <v>8461006.8888955768</v>
      </c>
      <c r="Q123" s="30">
        <f t="shared" si="12"/>
        <v>143862.00214858726</v>
      </c>
      <c r="R123" s="48">
        <f t="shared" si="13"/>
        <v>1.5891487897524075E-2</v>
      </c>
    </row>
    <row r="124" spans="1:18" x14ac:dyDescent="0.2">
      <c r="A124" s="2">
        <v>44228</v>
      </c>
      <c r="B124">
        <f t="shared" si="14"/>
        <v>2021</v>
      </c>
      <c r="C124">
        <f t="shared" si="15"/>
        <v>2</v>
      </c>
      <c r="D124" s="88">
        <v>7899265.667469875</v>
      </c>
      <c r="E124" s="88">
        <v>735626.19902410684</v>
      </c>
      <c r="F124" s="88">
        <v>8634891.8664939813</v>
      </c>
      <c r="G124" s="78">
        <v>541.69999999999993</v>
      </c>
      <c r="H124" s="78">
        <v>0</v>
      </c>
      <c r="I124" s="78">
        <f t="shared" si="19"/>
        <v>513.95684210526292</v>
      </c>
      <c r="J124" s="78">
        <f t="shared" si="19"/>
        <v>0</v>
      </c>
      <c r="K124" s="30">
        <v>0</v>
      </c>
      <c r="L124" s="30">
        <v>2848</v>
      </c>
      <c r="M124" s="30">
        <v>122</v>
      </c>
      <c r="N124" s="81">
        <v>0.5</v>
      </c>
      <c r="O124" s="30">
        <f t="shared" si="16"/>
        <v>8539455.8069254439</v>
      </c>
      <c r="P124" s="30">
        <f t="shared" si="11"/>
        <v>7803829.6079013366</v>
      </c>
      <c r="Q124" s="30">
        <f t="shared" si="12"/>
        <v>-95436.059568537399</v>
      </c>
      <c r="R124" s="48">
        <f t="shared" si="13"/>
        <v>1.1052374603422479E-2</v>
      </c>
    </row>
    <row r="125" spans="1:18" x14ac:dyDescent="0.2">
      <c r="A125" s="2">
        <v>44256</v>
      </c>
      <c r="B125">
        <f t="shared" si="14"/>
        <v>2021</v>
      </c>
      <c r="C125">
        <f t="shared" si="15"/>
        <v>3</v>
      </c>
      <c r="D125" s="88">
        <v>7196997.5518072229</v>
      </c>
      <c r="E125" s="88">
        <v>735626.19902410684</v>
      </c>
      <c r="F125" s="88">
        <v>7932623.7508313302</v>
      </c>
      <c r="G125" s="78">
        <v>337.20000000000005</v>
      </c>
      <c r="H125" s="78">
        <v>0.5</v>
      </c>
      <c r="I125" s="78">
        <f t="shared" si="19"/>
        <v>400.06210526315817</v>
      </c>
      <c r="J125" s="78">
        <f t="shared" si="19"/>
        <v>0.74263157894736409</v>
      </c>
      <c r="K125" s="30">
        <v>0</v>
      </c>
      <c r="L125" s="30">
        <v>2849</v>
      </c>
      <c r="M125" s="30">
        <v>123</v>
      </c>
      <c r="N125" s="81">
        <v>0.5</v>
      </c>
      <c r="O125" s="30">
        <f t="shared" si="16"/>
        <v>8150073.0640477007</v>
      </c>
      <c r="P125" s="30">
        <f t="shared" si="11"/>
        <v>7414446.8650235943</v>
      </c>
      <c r="Q125" s="30">
        <f t="shared" si="12"/>
        <v>217449.31321637053</v>
      </c>
      <c r="R125" s="48">
        <f t="shared" si="13"/>
        <v>2.7412029115030458E-2</v>
      </c>
    </row>
    <row r="126" spans="1:18" x14ac:dyDescent="0.2">
      <c r="A126" s="2">
        <v>44287</v>
      </c>
      <c r="B126">
        <f t="shared" si="14"/>
        <v>2021</v>
      </c>
      <c r="C126">
        <f t="shared" si="15"/>
        <v>4</v>
      </c>
      <c r="D126" s="88">
        <v>6547512.9831325319</v>
      </c>
      <c r="E126" s="88">
        <v>735626.19902410684</v>
      </c>
      <c r="F126" s="88">
        <v>7283139.1821566392</v>
      </c>
      <c r="G126" s="78">
        <v>185.99999999999997</v>
      </c>
      <c r="H126" s="78">
        <v>3.5999999999999996</v>
      </c>
      <c r="I126" s="78">
        <f t="shared" si="19"/>
        <v>225.72052631578936</v>
      </c>
      <c r="J126" s="78">
        <f t="shared" si="19"/>
        <v>0</v>
      </c>
      <c r="K126" s="30">
        <v>0</v>
      </c>
      <c r="L126" s="30">
        <v>2861</v>
      </c>
      <c r="M126" s="30">
        <v>124</v>
      </c>
      <c r="N126" s="81">
        <v>0.5</v>
      </c>
      <c r="O126" s="30">
        <f t="shared" si="16"/>
        <v>7401904.4048288856</v>
      </c>
      <c r="P126" s="30">
        <f t="shared" si="11"/>
        <v>6666278.2058047783</v>
      </c>
      <c r="Q126" s="30">
        <f t="shared" si="12"/>
        <v>118765.2226722464</v>
      </c>
      <c r="R126" s="48">
        <f t="shared" si="13"/>
        <v>1.6306872586372621E-2</v>
      </c>
    </row>
    <row r="127" spans="1:18" x14ac:dyDescent="0.2">
      <c r="A127" s="2">
        <v>44317</v>
      </c>
      <c r="B127">
        <f t="shared" si="14"/>
        <v>2021</v>
      </c>
      <c r="C127">
        <f t="shared" si="15"/>
        <v>5</v>
      </c>
      <c r="D127" s="88">
        <v>5916481.4457831262</v>
      </c>
      <c r="E127" s="88">
        <v>735626.19902410684</v>
      </c>
      <c r="F127" s="88">
        <v>6652107.6448072325</v>
      </c>
      <c r="G127" s="78">
        <v>80.299999999999983</v>
      </c>
      <c r="H127" s="78">
        <v>67.999999999999986</v>
      </c>
      <c r="I127" s="78">
        <f t="shared" si="19"/>
        <v>59.688947368421054</v>
      </c>
      <c r="J127" s="78">
        <f t="shared" si="19"/>
        <v>80.273684210525971</v>
      </c>
      <c r="K127" s="30">
        <v>0</v>
      </c>
      <c r="L127" s="30">
        <v>2864</v>
      </c>
      <c r="M127" s="30">
        <v>125</v>
      </c>
      <c r="N127" s="81">
        <v>0.5</v>
      </c>
      <c r="O127" s="30">
        <f t="shared" si="16"/>
        <v>6642140.708649368</v>
      </c>
      <c r="P127" s="30">
        <f t="shared" si="11"/>
        <v>5906514.5096252616</v>
      </c>
      <c r="Q127" s="30">
        <f t="shared" si="12"/>
        <v>-9966.9361578645185</v>
      </c>
      <c r="R127" s="48">
        <f t="shared" si="13"/>
        <v>1.4983125183857941E-3</v>
      </c>
    </row>
    <row r="128" spans="1:18" x14ac:dyDescent="0.2">
      <c r="A128" s="2">
        <v>44348</v>
      </c>
      <c r="B128">
        <f t="shared" si="14"/>
        <v>2021</v>
      </c>
      <c r="C128">
        <f t="shared" si="15"/>
        <v>6</v>
      </c>
      <c r="D128" s="88">
        <v>6502732.9156626537</v>
      </c>
      <c r="E128" s="88">
        <v>735626.19902410684</v>
      </c>
      <c r="F128" s="88">
        <v>7238359.1146867611</v>
      </c>
      <c r="G128" s="78">
        <v>0</v>
      </c>
      <c r="H128" s="78">
        <v>235.00000000000006</v>
      </c>
      <c r="I128" s="78">
        <f t="shared" si="19"/>
        <v>1.08894736842106</v>
      </c>
      <c r="J128" s="78">
        <f t="shared" si="19"/>
        <v>177.38052631578967</v>
      </c>
      <c r="K128" s="30">
        <v>0</v>
      </c>
      <c r="L128" s="30">
        <v>2867</v>
      </c>
      <c r="M128" s="30">
        <v>126</v>
      </c>
      <c r="N128" s="81">
        <v>0.5</v>
      </c>
      <c r="O128" s="30">
        <f t="shared" si="16"/>
        <v>6956043.4369753851</v>
      </c>
      <c r="P128" s="30">
        <f t="shared" si="11"/>
        <v>6220417.2379512787</v>
      </c>
      <c r="Q128" s="30">
        <f t="shared" si="12"/>
        <v>-282315.67771137599</v>
      </c>
      <c r="R128" s="48">
        <f t="shared" si="13"/>
        <v>3.9002717775987711E-2</v>
      </c>
    </row>
    <row r="129" spans="1:21" x14ac:dyDescent="0.2">
      <c r="A129" s="2">
        <v>44378</v>
      </c>
      <c r="B129">
        <f t="shared" si="14"/>
        <v>2021</v>
      </c>
      <c r="C129">
        <f t="shared" si="15"/>
        <v>7</v>
      </c>
      <c r="D129" s="88">
        <v>7081289.7349397596</v>
      </c>
      <c r="E129" s="88">
        <v>735626.19902410684</v>
      </c>
      <c r="F129" s="88">
        <v>7816915.9339638669</v>
      </c>
      <c r="G129" s="78">
        <v>0</v>
      </c>
      <c r="H129" s="78">
        <v>228.30000000000004</v>
      </c>
      <c r="I129" s="78">
        <f t="shared" si="19"/>
        <v>0</v>
      </c>
      <c r="J129" s="78">
        <f t="shared" si="19"/>
        <v>273.7568421052631</v>
      </c>
      <c r="K129" s="30">
        <v>0</v>
      </c>
      <c r="L129" s="30">
        <v>2870</v>
      </c>
      <c r="M129" s="30">
        <v>127</v>
      </c>
      <c r="N129" s="81">
        <v>0.5</v>
      </c>
      <c r="O129" s="30">
        <f t="shared" si="16"/>
        <v>8042594.1293302123</v>
      </c>
      <c r="P129" s="30">
        <f t="shared" si="11"/>
        <v>7306967.9303061049</v>
      </c>
      <c r="Q129" s="30">
        <f t="shared" si="12"/>
        <v>225678.19536634535</v>
      </c>
      <c r="R129" s="48">
        <f t="shared" si="13"/>
        <v>2.8870490264042863E-2</v>
      </c>
    </row>
    <row r="130" spans="1:21" x14ac:dyDescent="0.2">
      <c r="A130" s="2">
        <v>44409</v>
      </c>
      <c r="B130">
        <f t="shared" si="14"/>
        <v>2021</v>
      </c>
      <c r="C130">
        <f t="shared" si="15"/>
        <v>8</v>
      </c>
      <c r="D130" s="88">
        <v>7851599.4891566234</v>
      </c>
      <c r="E130" s="88">
        <v>735626.19902410684</v>
      </c>
      <c r="F130" s="88">
        <v>8587225.6881807297</v>
      </c>
      <c r="G130" s="78">
        <v>0</v>
      </c>
      <c r="H130" s="78">
        <v>303.39999999999998</v>
      </c>
      <c r="I130" s="78">
        <f t="shared" si="19"/>
        <v>0</v>
      </c>
      <c r="J130" s="78">
        <f t="shared" si="19"/>
        <v>253.05789473684217</v>
      </c>
      <c r="K130" s="30">
        <v>0</v>
      </c>
      <c r="L130" s="30">
        <v>2898</v>
      </c>
      <c r="M130" s="30">
        <v>128</v>
      </c>
      <c r="N130" s="81">
        <v>0.5</v>
      </c>
      <c r="O130" s="30">
        <f t="shared" si="16"/>
        <v>8337293.7760513425</v>
      </c>
      <c r="P130" s="30">
        <f t="shared" si="11"/>
        <v>7601667.5770272352</v>
      </c>
      <c r="Q130" s="30">
        <f t="shared" si="12"/>
        <v>-249931.91212938726</v>
      </c>
      <c r="R130" s="48">
        <f t="shared" si="13"/>
        <v>2.9105082503350074E-2</v>
      </c>
    </row>
    <row r="131" spans="1:21" x14ac:dyDescent="0.2">
      <c r="A131" s="2">
        <v>44440</v>
      </c>
      <c r="B131">
        <f t="shared" si="14"/>
        <v>2021</v>
      </c>
      <c r="C131">
        <f t="shared" si="15"/>
        <v>9</v>
      </c>
      <c r="D131" s="88">
        <v>7157403.4891566234</v>
      </c>
      <c r="E131" s="88">
        <v>735626.19902410684</v>
      </c>
      <c r="F131" s="88">
        <v>7893029.6881807297</v>
      </c>
      <c r="G131" s="78">
        <v>3</v>
      </c>
      <c r="H131" s="78">
        <v>112.3</v>
      </c>
      <c r="I131" s="78">
        <f t="shared" ref="I131:J133" si="20">I143</f>
        <v>9.9542105263157907</v>
      </c>
      <c r="J131" s="78">
        <f t="shared" si="20"/>
        <v>120.49421052631581</v>
      </c>
      <c r="K131" s="30">
        <v>1</v>
      </c>
      <c r="L131" s="30">
        <v>2914</v>
      </c>
      <c r="M131" s="30">
        <v>129</v>
      </c>
      <c r="N131" s="81">
        <v>0.5</v>
      </c>
      <c r="O131" s="30">
        <f t="shared" si="16"/>
        <v>7957633.6179059437</v>
      </c>
      <c r="P131" s="30">
        <f t="shared" ref="P131:P158" si="21">O131-E131</f>
        <v>7222007.4188818373</v>
      </c>
      <c r="Q131" s="30">
        <f t="shared" ref="Q131:Q158" si="22">+O131-F131</f>
        <v>64603.929725213908</v>
      </c>
      <c r="R131" s="48">
        <f t="shared" ref="R131:R134" si="23">ABS(Q131/F131)</f>
        <v>8.1849343379455236E-3</v>
      </c>
    </row>
    <row r="132" spans="1:21" x14ac:dyDescent="0.2">
      <c r="A132" s="2">
        <v>44470</v>
      </c>
      <c r="B132">
        <f t="shared" ref="B132:B158" si="24">YEAR(A132)</f>
        <v>2021</v>
      </c>
      <c r="C132">
        <f t="shared" ref="C132:C158" si="25">MONTH(A132)</f>
        <v>10</v>
      </c>
      <c r="D132" s="88">
        <v>6765314.053012046</v>
      </c>
      <c r="E132" s="88">
        <v>735626.19902410684</v>
      </c>
      <c r="F132" s="88">
        <v>7500940.2520361524</v>
      </c>
      <c r="G132" s="78">
        <v>68.600000000000009</v>
      </c>
      <c r="H132" s="78">
        <v>52.999999999999986</v>
      </c>
      <c r="I132" s="78">
        <f t="shared" si="20"/>
        <v>107.70315789473716</v>
      </c>
      <c r="J132" s="78">
        <f t="shared" si="20"/>
        <v>25.808421052631616</v>
      </c>
      <c r="K132" s="30">
        <v>1</v>
      </c>
      <c r="L132" s="30">
        <v>2906</v>
      </c>
      <c r="M132" s="30">
        <v>130</v>
      </c>
      <c r="N132" s="81">
        <v>0.5</v>
      </c>
      <c r="O132" s="30">
        <f t="shared" ref="O132:O134" si="26">F132+(I132-G132)*$T$20+(J132-H132)*$T$21</f>
        <v>7500457.3450059686</v>
      </c>
      <c r="P132" s="30">
        <f t="shared" si="21"/>
        <v>6764831.1459818613</v>
      </c>
      <c r="Q132" s="30">
        <f t="shared" si="22"/>
        <v>-482.90703018382192</v>
      </c>
      <c r="R132" s="48">
        <f t="shared" si="23"/>
        <v>6.4379532959582677E-5</v>
      </c>
    </row>
    <row r="133" spans="1:21" x14ac:dyDescent="0.2">
      <c r="A133" s="2">
        <v>44501</v>
      </c>
      <c r="B133">
        <f t="shared" si="24"/>
        <v>2021</v>
      </c>
      <c r="C133">
        <f t="shared" si="25"/>
        <v>11</v>
      </c>
      <c r="D133" s="88">
        <v>6721158.9108433723</v>
      </c>
      <c r="E133" s="88">
        <v>735626.19902410684</v>
      </c>
      <c r="F133" s="88">
        <v>7456785.1098674797</v>
      </c>
      <c r="G133" s="78">
        <v>293.70000000000005</v>
      </c>
      <c r="H133" s="78">
        <v>0</v>
      </c>
      <c r="I133" s="78">
        <f t="shared" si="20"/>
        <v>305.31105263157906</v>
      </c>
      <c r="J133" s="78">
        <f t="shared" si="20"/>
        <v>1.3363157894737014</v>
      </c>
      <c r="K133" s="30">
        <v>1</v>
      </c>
      <c r="L133" s="30">
        <v>2907</v>
      </c>
      <c r="M133" s="30">
        <v>131</v>
      </c>
      <c r="N133" s="81">
        <v>0.5</v>
      </c>
      <c r="O133" s="30">
        <f t="shared" si="26"/>
        <v>7503361.3281877888</v>
      </c>
      <c r="P133" s="30">
        <f t="shared" si="21"/>
        <v>6767735.1291636825</v>
      </c>
      <c r="Q133" s="30">
        <f t="shared" si="22"/>
        <v>46576.218320309184</v>
      </c>
      <c r="R133" s="48">
        <f t="shared" si="23"/>
        <v>6.2461526829672752E-3</v>
      </c>
    </row>
    <row r="134" spans="1:21" x14ac:dyDescent="0.2">
      <c r="A134" s="2">
        <v>44531</v>
      </c>
      <c r="B134">
        <f t="shared" si="24"/>
        <v>2021</v>
      </c>
      <c r="C134">
        <f t="shared" si="25"/>
        <v>12</v>
      </c>
      <c r="D134" s="88">
        <v>7522268.6361445729</v>
      </c>
      <c r="E134" s="88">
        <v>735626.19902410684</v>
      </c>
      <c r="F134" s="88">
        <v>8257894.8351686802</v>
      </c>
      <c r="G134" s="78">
        <v>381.4</v>
      </c>
      <c r="H134" s="78">
        <v>0</v>
      </c>
      <c r="I134" s="78">
        <f>I146</f>
        <v>437.78421052631529</v>
      </c>
      <c r="J134" s="78">
        <f>J146</f>
        <v>0</v>
      </c>
      <c r="K134" s="30">
        <v>0</v>
      </c>
      <c r="L134" s="30">
        <v>2918</v>
      </c>
      <c r="M134" s="30">
        <v>132</v>
      </c>
      <c r="N134" s="81">
        <v>0.5</v>
      </c>
      <c r="O134" s="30">
        <f t="shared" si="26"/>
        <v>8451855.6991385017</v>
      </c>
      <c r="P134" s="30">
        <f t="shared" si="21"/>
        <v>7716229.5001143944</v>
      </c>
      <c r="Q134" s="30">
        <f t="shared" si="22"/>
        <v>193960.86396982148</v>
      </c>
      <c r="R134" s="48">
        <f t="shared" si="23"/>
        <v>2.3487930984998979E-2</v>
      </c>
      <c r="S134" s="76" t="s">
        <v>11</v>
      </c>
    </row>
    <row r="135" spans="1:21" x14ac:dyDescent="0.2">
      <c r="A135" s="2">
        <v>44562</v>
      </c>
      <c r="B135">
        <f t="shared" si="24"/>
        <v>2022</v>
      </c>
      <c r="C135">
        <f t="shared" si="25"/>
        <v>1</v>
      </c>
      <c r="E135" s="88">
        <v>719649.09172747855</v>
      </c>
      <c r="F135" s="88"/>
      <c r="G135" s="78">
        <v>557.82052631578927</v>
      </c>
      <c r="H135" s="78">
        <v>0</v>
      </c>
      <c r="I135" s="78">
        <f>G135</f>
        <v>557.82052631578927</v>
      </c>
      <c r="J135" s="78">
        <f>H135</f>
        <v>0</v>
      </c>
      <c r="K135" s="30">
        <f t="shared" ref="K135:K146" si="27">K111</f>
        <v>0</v>
      </c>
      <c r="L135" s="93">
        <f>'Rate Class Customer Model'!E60</f>
        <v>2922.3728559552128</v>
      </c>
      <c r="M135" s="30">
        <f t="shared" ref="M135:M158" si="28">M134+1</f>
        <v>133</v>
      </c>
      <c r="N135" s="100">
        <f>S135*0.5</f>
        <v>0.375</v>
      </c>
      <c r="O135" s="30">
        <f t="shared" ref="O135:O158" si="29">$T$19+G135*$T$20+H135*$T$21+K135*$T$22+L135*$T$23+M135*$T$24+N135*$T$25</f>
        <v>8953737.6300725415</v>
      </c>
      <c r="P135" s="30">
        <f t="shared" si="21"/>
        <v>8234088.5383450631</v>
      </c>
      <c r="Q135" s="30">
        <f t="shared" si="22"/>
        <v>8953737.6300725415</v>
      </c>
      <c r="R135" s="48"/>
      <c r="S135">
        <f>'GS &lt; 50 kW'!Q135</f>
        <v>0.75</v>
      </c>
    </row>
    <row r="136" spans="1:21" x14ac:dyDescent="0.2">
      <c r="A136" s="2">
        <v>44593</v>
      </c>
      <c r="B136">
        <f t="shared" si="24"/>
        <v>2022</v>
      </c>
      <c r="C136">
        <f t="shared" si="25"/>
        <v>2</v>
      </c>
      <c r="E136" s="88">
        <f>E135</f>
        <v>719649.09172747855</v>
      </c>
      <c r="F136" s="88"/>
      <c r="G136" s="78">
        <v>513.95684210526292</v>
      </c>
      <c r="H136" s="78">
        <v>0</v>
      </c>
      <c r="I136" s="78">
        <f t="shared" ref="I136:J158" si="30">G136</f>
        <v>513.95684210526292</v>
      </c>
      <c r="J136" s="78">
        <f t="shared" si="30"/>
        <v>0</v>
      </c>
      <c r="K136" s="30">
        <f t="shared" si="27"/>
        <v>0</v>
      </c>
      <c r="L136" s="93">
        <f>'Rate Class Customer Model'!E61</f>
        <v>2926.7522649841762</v>
      </c>
      <c r="M136" s="30">
        <f t="shared" si="28"/>
        <v>134</v>
      </c>
      <c r="N136" s="100">
        <f t="shared" ref="N136:N158" si="31">S136*0.5</f>
        <v>0.375</v>
      </c>
      <c r="O136" s="30">
        <f t="shared" si="29"/>
        <v>8812491.6400808245</v>
      </c>
      <c r="P136" s="30">
        <f t="shared" si="21"/>
        <v>8092842.5483533461</v>
      </c>
      <c r="Q136" s="30">
        <f t="shared" si="22"/>
        <v>8812491.6400808245</v>
      </c>
      <c r="R136" s="48"/>
      <c r="S136">
        <f>'GS &lt; 50 kW'!Q136</f>
        <v>0.75</v>
      </c>
    </row>
    <row r="137" spans="1:21" x14ac:dyDescent="0.2">
      <c r="A137" s="2">
        <v>44621</v>
      </c>
      <c r="B137">
        <f t="shared" si="24"/>
        <v>2022</v>
      </c>
      <c r="C137">
        <f t="shared" si="25"/>
        <v>3</v>
      </c>
      <c r="E137" s="88">
        <f>E136</f>
        <v>719649.09172747855</v>
      </c>
      <c r="F137" s="88"/>
      <c r="G137" s="78">
        <v>400.06210526315817</v>
      </c>
      <c r="H137" s="78">
        <v>0.74263157894736409</v>
      </c>
      <c r="I137" s="78">
        <f t="shared" si="30"/>
        <v>400.06210526315817</v>
      </c>
      <c r="J137" s="78">
        <f t="shared" si="30"/>
        <v>0.74263157894736409</v>
      </c>
      <c r="K137" s="30">
        <f t="shared" si="27"/>
        <v>0</v>
      </c>
      <c r="L137" s="93">
        <f>'Rate Class Customer Model'!E62</f>
        <v>2931.1382369071948</v>
      </c>
      <c r="M137" s="30">
        <f t="shared" si="28"/>
        <v>135</v>
      </c>
      <c r="N137" s="100">
        <f t="shared" si="31"/>
        <v>0.375</v>
      </c>
      <c r="O137" s="30">
        <f>$T$19+G137*$T$20+H137*$T$21+K137*$T$22+L137*$T$23+M137*$T$24+N137*$T$25</f>
        <v>8434060.2084855922</v>
      </c>
      <c r="P137" s="30">
        <f t="shared" si="21"/>
        <v>7714411.1167581137</v>
      </c>
      <c r="Q137" s="30">
        <f t="shared" si="22"/>
        <v>8434060.2084855922</v>
      </c>
      <c r="R137" s="48"/>
      <c r="S137">
        <f>'GS &lt; 50 kW'!Q137</f>
        <v>0.75</v>
      </c>
    </row>
    <row r="138" spans="1:21" x14ac:dyDescent="0.2">
      <c r="A138" s="2">
        <v>44652</v>
      </c>
      <c r="B138">
        <f t="shared" si="24"/>
        <v>2022</v>
      </c>
      <c r="C138">
        <f t="shared" si="25"/>
        <v>4</v>
      </c>
      <c r="E138" s="88">
        <f t="shared" ref="E138:E146" si="32">E137</f>
        <v>719649.09172747855</v>
      </c>
      <c r="F138" s="88"/>
      <c r="G138" s="78">
        <v>225.72052631578936</v>
      </c>
      <c r="H138" s="78">
        <v>0</v>
      </c>
      <c r="I138" s="78">
        <f t="shared" si="30"/>
        <v>225.72052631578936</v>
      </c>
      <c r="J138" s="78">
        <f t="shared" si="30"/>
        <v>0</v>
      </c>
      <c r="K138" s="30">
        <f t="shared" si="27"/>
        <v>0</v>
      </c>
      <c r="L138" s="93">
        <f>'Rate Class Customer Model'!E63</f>
        <v>2935.5307815592892</v>
      </c>
      <c r="M138" s="30">
        <f t="shared" si="28"/>
        <v>136</v>
      </c>
      <c r="N138" s="100">
        <f t="shared" si="31"/>
        <v>0.375</v>
      </c>
      <c r="O138" s="30">
        <f t="shared" si="29"/>
        <v>7840352.1692442102</v>
      </c>
      <c r="P138" s="30">
        <f t="shared" si="21"/>
        <v>7120703.0775167318</v>
      </c>
      <c r="Q138" s="30">
        <f t="shared" si="22"/>
        <v>7840352.1692442102</v>
      </c>
      <c r="R138" s="48"/>
      <c r="S138">
        <f>'GS &lt; 50 kW'!Q138</f>
        <v>0.75</v>
      </c>
    </row>
    <row r="139" spans="1:21" x14ac:dyDescent="0.2">
      <c r="A139" s="2">
        <v>44682</v>
      </c>
      <c r="B139">
        <f t="shared" si="24"/>
        <v>2022</v>
      </c>
      <c r="C139">
        <f t="shared" si="25"/>
        <v>5</v>
      </c>
      <c r="E139" s="88">
        <f t="shared" si="32"/>
        <v>719649.09172747855</v>
      </c>
      <c r="F139" s="88"/>
      <c r="G139" s="78">
        <v>59.688947368421054</v>
      </c>
      <c r="H139" s="78">
        <v>80.273684210525971</v>
      </c>
      <c r="I139" s="78">
        <f t="shared" si="30"/>
        <v>59.688947368421054</v>
      </c>
      <c r="J139" s="78">
        <f t="shared" si="30"/>
        <v>80.273684210525971</v>
      </c>
      <c r="K139" s="30">
        <f t="shared" si="27"/>
        <v>0</v>
      </c>
      <c r="L139" s="93">
        <f>'Rate Class Customer Model'!E64</f>
        <v>2939.9299087902186</v>
      </c>
      <c r="M139" s="30">
        <f t="shared" si="28"/>
        <v>137</v>
      </c>
      <c r="N139" s="100">
        <f t="shared" si="31"/>
        <v>0.375</v>
      </c>
      <c r="O139" s="30">
        <f t="shared" si="29"/>
        <v>7677483.177866295</v>
      </c>
      <c r="P139" s="30">
        <f t="shared" si="21"/>
        <v>6957834.0861388166</v>
      </c>
      <c r="Q139" s="30">
        <f t="shared" si="22"/>
        <v>7677483.177866295</v>
      </c>
      <c r="R139" s="48"/>
      <c r="S139">
        <f>'GS &lt; 50 kW'!Q139</f>
        <v>0.75</v>
      </c>
    </row>
    <row r="140" spans="1:21" x14ac:dyDescent="0.2">
      <c r="A140" s="2">
        <v>44713</v>
      </c>
      <c r="B140">
        <f t="shared" si="24"/>
        <v>2022</v>
      </c>
      <c r="C140">
        <f t="shared" si="25"/>
        <v>6</v>
      </c>
      <c r="E140" s="88">
        <f t="shared" si="32"/>
        <v>719649.09172747855</v>
      </c>
      <c r="F140" s="88"/>
      <c r="G140" s="78">
        <v>1.08894736842106</v>
      </c>
      <c r="H140" s="78">
        <v>177.38052631578967</v>
      </c>
      <c r="I140" s="78">
        <f t="shared" si="30"/>
        <v>1.08894736842106</v>
      </c>
      <c r="J140" s="78">
        <f t="shared" si="30"/>
        <v>177.38052631578967</v>
      </c>
      <c r="K140" s="30">
        <f t="shared" si="27"/>
        <v>0</v>
      </c>
      <c r="L140" s="93">
        <f>'Rate Class Customer Model'!E65</f>
        <v>2944.3356284645029</v>
      </c>
      <c r="M140" s="30">
        <f t="shared" si="28"/>
        <v>138</v>
      </c>
      <c r="N140" s="100">
        <f t="shared" si="31"/>
        <v>0.375</v>
      </c>
      <c r="O140" s="30">
        <f t="shared" si="29"/>
        <v>7967781.9109306987</v>
      </c>
      <c r="P140" s="30">
        <f t="shared" si="21"/>
        <v>7248132.8192032203</v>
      </c>
      <c r="Q140" s="30">
        <f t="shared" si="22"/>
        <v>7967781.9109306987</v>
      </c>
      <c r="R140" s="48"/>
      <c r="S140">
        <f>'GS &lt; 50 kW'!Q140</f>
        <v>0.75</v>
      </c>
    </row>
    <row r="141" spans="1:21" x14ac:dyDescent="0.2">
      <c r="A141" s="2">
        <v>44743</v>
      </c>
      <c r="B141">
        <f t="shared" si="24"/>
        <v>2022</v>
      </c>
      <c r="C141">
        <f t="shared" si="25"/>
        <v>7</v>
      </c>
      <c r="E141" s="88">
        <f t="shared" si="32"/>
        <v>719649.09172747855</v>
      </c>
      <c r="F141" s="88"/>
      <c r="G141" s="78">
        <v>0</v>
      </c>
      <c r="H141" s="78">
        <v>273.7568421052631</v>
      </c>
      <c r="I141" s="78">
        <f t="shared" si="30"/>
        <v>0</v>
      </c>
      <c r="J141" s="78">
        <f t="shared" si="30"/>
        <v>273.7568421052631</v>
      </c>
      <c r="K141" s="30">
        <f t="shared" si="27"/>
        <v>0</v>
      </c>
      <c r="L141" s="93">
        <f>'Rate Class Customer Model'!E66</f>
        <v>2948.7479504614444</v>
      </c>
      <c r="M141" s="30">
        <f t="shared" si="28"/>
        <v>139</v>
      </c>
      <c r="N141" s="100">
        <f t="shared" si="31"/>
        <v>0.375</v>
      </c>
      <c r="O141" s="30">
        <f t="shared" si="29"/>
        <v>8452324.6480034366</v>
      </c>
      <c r="P141" s="30">
        <f t="shared" si="21"/>
        <v>7732675.5562759582</v>
      </c>
      <c r="Q141" s="30">
        <f t="shared" si="22"/>
        <v>8452324.6480034366</v>
      </c>
      <c r="R141" s="48"/>
      <c r="S141">
        <f>'GS &lt; 50 kW'!Q141</f>
        <v>0.75</v>
      </c>
    </row>
    <row r="142" spans="1:21" x14ac:dyDescent="0.2">
      <c r="A142" s="2">
        <v>44774</v>
      </c>
      <c r="B142">
        <f t="shared" si="24"/>
        <v>2022</v>
      </c>
      <c r="C142">
        <f t="shared" si="25"/>
        <v>8</v>
      </c>
      <c r="E142" s="88">
        <f t="shared" si="32"/>
        <v>719649.09172747855</v>
      </c>
      <c r="F142" s="88"/>
      <c r="G142" s="78">
        <v>0</v>
      </c>
      <c r="H142" s="78">
        <v>253.05789473684217</v>
      </c>
      <c r="I142" s="78">
        <f t="shared" si="30"/>
        <v>0</v>
      </c>
      <c r="J142" s="78">
        <f t="shared" si="30"/>
        <v>253.05789473684217</v>
      </c>
      <c r="K142" s="30">
        <f t="shared" si="27"/>
        <v>0</v>
      </c>
      <c r="L142" s="93">
        <f>'Rate Class Customer Model'!E67</f>
        <v>2953.1668846751513</v>
      </c>
      <c r="M142" s="30">
        <f t="shared" si="28"/>
        <v>140</v>
      </c>
      <c r="N142" s="100">
        <f t="shared" si="31"/>
        <v>0.375</v>
      </c>
      <c r="O142" s="30">
        <f t="shared" si="29"/>
        <v>8359407.0573305422</v>
      </c>
      <c r="P142" s="30">
        <f t="shared" si="21"/>
        <v>7639757.9656030638</v>
      </c>
      <c r="Q142" s="30">
        <f t="shared" si="22"/>
        <v>8359407.0573305422</v>
      </c>
      <c r="R142" s="48"/>
      <c r="S142">
        <f>'GS &lt; 50 kW'!Q142</f>
        <v>0.75</v>
      </c>
    </row>
    <row r="143" spans="1:21" x14ac:dyDescent="0.2">
      <c r="A143" s="2">
        <v>44805</v>
      </c>
      <c r="B143">
        <f t="shared" si="24"/>
        <v>2022</v>
      </c>
      <c r="C143">
        <f t="shared" si="25"/>
        <v>9</v>
      </c>
      <c r="E143" s="88">
        <f t="shared" si="32"/>
        <v>719649.09172747855</v>
      </c>
      <c r="F143" s="88"/>
      <c r="G143" s="78">
        <v>9.9542105263157907</v>
      </c>
      <c r="H143" s="78">
        <v>120.49421052631581</v>
      </c>
      <c r="I143" s="78">
        <f t="shared" si="30"/>
        <v>9.9542105263157907</v>
      </c>
      <c r="J143" s="78">
        <f t="shared" si="30"/>
        <v>120.49421052631581</v>
      </c>
      <c r="K143" s="30">
        <f t="shared" si="27"/>
        <v>1</v>
      </c>
      <c r="L143" s="93">
        <f>'Rate Class Customer Model'!E68</f>
        <v>2957.5924410145581</v>
      </c>
      <c r="M143" s="30">
        <f t="shared" si="28"/>
        <v>141</v>
      </c>
      <c r="N143" s="100">
        <f t="shared" si="31"/>
        <v>0.375</v>
      </c>
      <c r="O143" s="30">
        <f t="shared" si="29"/>
        <v>7458366.2212689435</v>
      </c>
      <c r="P143" s="30">
        <f t="shared" si="21"/>
        <v>6738717.1295414651</v>
      </c>
      <c r="Q143" s="30">
        <f t="shared" si="22"/>
        <v>7458366.2212689435</v>
      </c>
      <c r="R143" s="48"/>
      <c r="S143">
        <f>'GS &lt; 50 kW'!Q143</f>
        <v>0.75</v>
      </c>
    </row>
    <row r="144" spans="1:21" x14ac:dyDescent="0.2">
      <c r="A144" s="2">
        <v>44835</v>
      </c>
      <c r="B144">
        <f t="shared" si="24"/>
        <v>2022</v>
      </c>
      <c r="C144">
        <f t="shared" si="25"/>
        <v>10</v>
      </c>
      <c r="E144" s="88">
        <f t="shared" si="32"/>
        <v>719649.09172747855</v>
      </c>
      <c r="F144" s="88"/>
      <c r="G144" s="78">
        <v>107.70315789473716</v>
      </c>
      <c r="H144" s="78">
        <v>25.808421052631616</v>
      </c>
      <c r="I144" s="78">
        <f t="shared" si="30"/>
        <v>107.70315789473716</v>
      </c>
      <c r="J144" s="78">
        <f t="shared" si="30"/>
        <v>25.808421052631616</v>
      </c>
      <c r="K144" s="30">
        <f t="shared" si="27"/>
        <v>1</v>
      </c>
      <c r="L144" s="93">
        <f>'Rate Class Customer Model'!E69</f>
        <v>2962.0246294034487</v>
      </c>
      <c r="M144" s="30">
        <f t="shared" si="28"/>
        <v>142</v>
      </c>
      <c r="N144" s="100">
        <f t="shared" si="31"/>
        <v>0.375</v>
      </c>
      <c r="O144" s="30">
        <f t="shared" si="29"/>
        <v>7334450.9076530328</v>
      </c>
      <c r="P144" s="30">
        <f t="shared" si="21"/>
        <v>6614801.8159255544</v>
      </c>
      <c r="Q144" s="30">
        <f t="shared" si="22"/>
        <v>7334450.9076530328</v>
      </c>
      <c r="R144" s="48"/>
      <c r="S144">
        <f>'GS &lt; 50 kW'!Q144</f>
        <v>0.75</v>
      </c>
      <c r="T144" s="132"/>
      <c r="U144" s="133"/>
    </row>
    <row r="145" spans="1:21" x14ac:dyDescent="0.2">
      <c r="A145" s="2">
        <v>44866</v>
      </c>
      <c r="B145">
        <f t="shared" si="24"/>
        <v>2022</v>
      </c>
      <c r="C145">
        <f t="shared" si="25"/>
        <v>11</v>
      </c>
      <c r="E145" s="88">
        <f t="shared" si="32"/>
        <v>719649.09172747855</v>
      </c>
      <c r="F145" s="88"/>
      <c r="G145" s="78">
        <v>305.31105263157906</v>
      </c>
      <c r="H145" s="78">
        <v>1.3363157894737014</v>
      </c>
      <c r="I145" s="78">
        <f t="shared" si="30"/>
        <v>305.31105263157906</v>
      </c>
      <c r="J145" s="78">
        <f t="shared" si="30"/>
        <v>1.3363157894737014</v>
      </c>
      <c r="K145" s="30">
        <f t="shared" si="27"/>
        <v>1</v>
      </c>
      <c r="L145" s="93">
        <f>'Rate Class Customer Model'!E70</f>
        <v>2966.4634597804788</v>
      </c>
      <c r="M145" s="30">
        <f t="shared" si="28"/>
        <v>143</v>
      </c>
      <c r="N145" s="100">
        <f t="shared" si="31"/>
        <v>0.375</v>
      </c>
      <c r="O145" s="30">
        <f t="shared" si="29"/>
        <v>7902670.4967690334</v>
      </c>
      <c r="P145" s="30">
        <f t="shared" si="21"/>
        <v>7183021.4050415549</v>
      </c>
      <c r="Q145" s="30">
        <f t="shared" si="22"/>
        <v>7902670.4967690334</v>
      </c>
      <c r="R145" s="48"/>
      <c r="S145">
        <f>'GS &lt; 50 kW'!Q145</f>
        <v>0.75</v>
      </c>
      <c r="T145" s="132"/>
      <c r="U145" s="133"/>
    </row>
    <row r="146" spans="1:21" x14ac:dyDescent="0.2">
      <c r="A146" s="2">
        <v>44896</v>
      </c>
      <c r="B146">
        <f t="shared" si="24"/>
        <v>2022</v>
      </c>
      <c r="C146">
        <f t="shared" si="25"/>
        <v>12</v>
      </c>
      <c r="E146" s="88">
        <f t="shared" si="32"/>
        <v>719649.09172747855</v>
      </c>
      <c r="F146" s="88"/>
      <c r="G146" s="78">
        <v>437.78421052631529</v>
      </c>
      <c r="H146" s="78">
        <v>0</v>
      </c>
      <c r="I146" s="78">
        <f t="shared" si="30"/>
        <v>437.78421052631529</v>
      </c>
      <c r="J146" s="78">
        <f t="shared" si="30"/>
        <v>0</v>
      </c>
      <c r="K146" s="30">
        <f t="shared" si="27"/>
        <v>0</v>
      </c>
      <c r="L146" s="93">
        <f>'Rate Class Customer Model'!E71</f>
        <v>2970.9089420991977</v>
      </c>
      <c r="M146" s="30">
        <f t="shared" si="28"/>
        <v>144</v>
      </c>
      <c r="N146" s="100">
        <f t="shared" si="31"/>
        <v>0.375</v>
      </c>
      <c r="O146" s="30">
        <f t="shared" si="29"/>
        <v>8648750.8652810492</v>
      </c>
      <c r="P146" s="30">
        <f t="shared" si="21"/>
        <v>7929101.7735535707</v>
      </c>
      <c r="Q146" s="30">
        <f t="shared" si="22"/>
        <v>8648750.8652810492</v>
      </c>
      <c r="R146" s="48"/>
      <c r="S146">
        <f>'GS &lt; 50 kW'!Q146</f>
        <v>0.75</v>
      </c>
      <c r="T146" s="132"/>
      <c r="U146" s="133"/>
    </row>
    <row r="147" spans="1:21" ht="12.75" customHeight="1" x14ac:dyDescent="0.2">
      <c r="A147" s="2">
        <v>44927</v>
      </c>
      <c r="B147">
        <f t="shared" si="24"/>
        <v>2023</v>
      </c>
      <c r="C147">
        <f t="shared" si="25"/>
        <v>1</v>
      </c>
      <c r="E147" s="88">
        <v>704474.46517617174</v>
      </c>
      <c r="G147" s="78">
        <v>555.95248120300721</v>
      </c>
      <c r="H147" s="78">
        <v>0</v>
      </c>
      <c r="I147" s="78">
        <f t="shared" si="30"/>
        <v>555.95248120300721</v>
      </c>
      <c r="J147" s="78">
        <f t="shared" si="30"/>
        <v>0</v>
      </c>
      <c r="K147" s="30">
        <f>K135</f>
        <v>0</v>
      </c>
      <c r="L147" s="93">
        <f>'Rate Class Customer Model'!E72</f>
        <v>2975.3610863280715</v>
      </c>
      <c r="M147" s="30">
        <f t="shared" si="28"/>
        <v>145</v>
      </c>
      <c r="N147" s="100">
        <f t="shared" si="31"/>
        <v>0.25</v>
      </c>
      <c r="O147" s="30">
        <f t="shared" si="29"/>
        <v>9149998.8408494797</v>
      </c>
      <c r="P147" s="30">
        <f t="shared" si="21"/>
        <v>8445524.3756733071</v>
      </c>
      <c r="Q147" s="30">
        <f t="shared" si="22"/>
        <v>9149998.8408494797</v>
      </c>
      <c r="R147" s="48"/>
      <c r="S147">
        <f>'GS &lt; 50 kW'!Q147</f>
        <v>0.5</v>
      </c>
      <c r="T147" s="28"/>
      <c r="U147" s="39"/>
    </row>
    <row r="148" spans="1:21" x14ac:dyDescent="0.2">
      <c r="A148" s="2">
        <v>44958</v>
      </c>
      <c r="B148">
        <f t="shared" si="24"/>
        <v>2023</v>
      </c>
      <c r="C148">
        <f t="shared" si="25"/>
        <v>2</v>
      </c>
      <c r="E148" s="58">
        <f>E147</f>
        <v>704474.46517617174</v>
      </c>
      <c r="G148" s="78">
        <v>513.36511278195462</v>
      </c>
      <c r="H148" s="78">
        <v>0</v>
      </c>
      <c r="I148" s="78">
        <f t="shared" si="30"/>
        <v>513.36511278195462</v>
      </c>
      <c r="J148" s="78">
        <f t="shared" si="30"/>
        <v>0</v>
      </c>
      <c r="K148" s="30">
        <f t="shared" ref="K148:K158" si="33">K136</f>
        <v>0</v>
      </c>
      <c r="L148" s="93">
        <f>'Rate Class Customer Model'!E73</f>
        <v>2979.8199024505038</v>
      </c>
      <c r="M148" s="30">
        <f t="shared" si="28"/>
        <v>146</v>
      </c>
      <c r="N148" s="100">
        <f t="shared" si="31"/>
        <v>0.25</v>
      </c>
      <c r="O148" s="30">
        <f t="shared" si="29"/>
        <v>9013547.9670774154</v>
      </c>
      <c r="P148" s="30">
        <f t="shared" si="21"/>
        <v>8309073.5019012438</v>
      </c>
      <c r="Q148" s="30">
        <f t="shared" si="22"/>
        <v>9013547.9670774154</v>
      </c>
      <c r="R148" s="48"/>
      <c r="S148">
        <f>'GS &lt; 50 kW'!Q148</f>
        <v>0.5</v>
      </c>
      <c r="T148" s="28"/>
      <c r="U148" s="39"/>
    </row>
    <row r="149" spans="1:21" x14ac:dyDescent="0.2">
      <c r="A149" s="2">
        <v>44986</v>
      </c>
      <c r="B149">
        <f t="shared" si="24"/>
        <v>2023</v>
      </c>
      <c r="C149">
        <f t="shared" si="25"/>
        <v>3</v>
      </c>
      <c r="E149" s="58">
        <f t="shared" ref="E149:E158" si="34">E148</f>
        <v>704474.46517617174</v>
      </c>
      <c r="G149" s="78">
        <v>398.7127819548873</v>
      </c>
      <c r="H149" s="78">
        <v>0.75812030075187664</v>
      </c>
      <c r="I149" s="78">
        <f t="shared" si="30"/>
        <v>398.7127819548873</v>
      </c>
      <c r="J149" s="78">
        <f t="shared" si="30"/>
        <v>0.75812030075187664</v>
      </c>
      <c r="K149" s="30">
        <f t="shared" si="33"/>
        <v>0</v>
      </c>
      <c r="L149" s="93">
        <f>'Rate Class Customer Model'!E74</f>
        <v>2984.2854004648602</v>
      </c>
      <c r="M149" s="30">
        <f t="shared" si="28"/>
        <v>147</v>
      </c>
      <c r="N149" s="100">
        <f t="shared" si="31"/>
        <v>0.25</v>
      </c>
      <c r="O149" s="30">
        <f t="shared" si="29"/>
        <v>8632992.5343878567</v>
      </c>
      <c r="P149" s="30">
        <f t="shared" si="21"/>
        <v>7928518.0692116851</v>
      </c>
      <c r="Q149" s="30">
        <f t="shared" si="22"/>
        <v>8632992.5343878567</v>
      </c>
      <c r="R149" s="48"/>
      <c r="S149">
        <f>'GS &lt; 50 kW'!Q149</f>
        <v>0.5</v>
      </c>
      <c r="T149" s="28"/>
      <c r="U149" s="39"/>
    </row>
    <row r="150" spans="1:21" x14ac:dyDescent="0.2">
      <c r="A150" s="2">
        <v>45017</v>
      </c>
      <c r="B150">
        <f t="shared" si="24"/>
        <v>2023</v>
      </c>
      <c r="C150">
        <f t="shared" si="25"/>
        <v>4</v>
      </c>
      <c r="E150" s="58">
        <f t="shared" si="34"/>
        <v>704474.46517617174</v>
      </c>
      <c r="G150" s="78">
        <v>226.94819548872192</v>
      </c>
      <c r="H150" s="78">
        <v>0</v>
      </c>
      <c r="I150" s="78">
        <f t="shared" si="30"/>
        <v>226.94819548872192</v>
      </c>
      <c r="J150" s="78">
        <f t="shared" si="30"/>
        <v>0</v>
      </c>
      <c r="K150" s="30">
        <f t="shared" si="33"/>
        <v>0</v>
      </c>
      <c r="L150" s="93">
        <f>'Rate Class Customer Model'!E75</f>
        <v>2988.757590384489</v>
      </c>
      <c r="M150" s="30">
        <f t="shared" si="28"/>
        <v>148</v>
      </c>
      <c r="N150" s="100">
        <f t="shared" si="31"/>
        <v>0.25</v>
      </c>
      <c r="O150" s="30">
        <f t="shared" si="29"/>
        <v>8048478.2374651358</v>
      </c>
      <c r="P150" s="30">
        <f t="shared" si="21"/>
        <v>7344003.7722889641</v>
      </c>
      <c r="Q150" s="30">
        <f t="shared" si="22"/>
        <v>8048478.2374651358</v>
      </c>
      <c r="R150" s="48"/>
      <c r="S150">
        <f>'GS &lt; 50 kW'!Q150</f>
        <v>0.5</v>
      </c>
      <c r="T150" s="28"/>
      <c r="U150" s="39"/>
    </row>
    <row r="151" spans="1:21" x14ac:dyDescent="0.2">
      <c r="A151" s="2">
        <v>45047</v>
      </c>
      <c r="B151">
        <f t="shared" si="24"/>
        <v>2023</v>
      </c>
      <c r="C151">
        <f t="shared" si="25"/>
        <v>5</v>
      </c>
      <c r="E151" s="58">
        <f t="shared" si="34"/>
        <v>704474.46517617174</v>
      </c>
      <c r="G151" s="78">
        <v>59.265037593984971</v>
      </c>
      <c r="H151" s="78">
        <v>82.437368421053179</v>
      </c>
      <c r="I151" s="78">
        <f t="shared" si="30"/>
        <v>59.265037593984971</v>
      </c>
      <c r="J151" s="78">
        <f t="shared" si="30"/>
        <v>82.437368421053179</v>
      </c>
      <c r="K151" s="30">
        <f t="shared" si="33"/>
        <v>0</v>
      </c>
      <c r="L151" s="93">
        <f>'Rate Class Customer Model'!E76</f>
        <v>2993.2364822377444</v>
      </c>
      <c r="M151" s="30">
        <f t="shared" si="28"/>
        <v>149</v>
      </c>
      <c r="N151" s="100">
        <f t="shared" si="31"/>
        <v>0.25</v>
      </c>
      <c r="O151" s="30">
        <f t="shared" si="29"/>
        <v>7891076.2456497438</v>
      </c>
      <c r="P151" s="30">
        <f t="shared" si="21"/>
        <v>7186601.7804735722</v>
      </c>
      <c r="Q151" s="30">
        <f t="shared" si="22"/>
        <v>7891076.2456497438</v>
      </c>
      <c r="R151" s="48"/>
      <c r="S151">
        <f>'GS &lt; 50 kW'!Q151</f>
        <v>0.5</v>
      </c>
      <c r="T151" s="28"/>
      <c r="U151" s="39"/>
    </row>
    <row r="152" spans="1:21" x14ac:dyDescent="0.2">
      <c r="A152" s="2">
        <v>45078</v>
      </c>
      <c r="B152">
        <f t="shared" si="24"/>
        <v>2023</v>
      </c>
      <c r="C152">
        <f t="shared" si="25"/>
        <v>6</v>
      </c>
      <c r="E152" s="58">
        <f t="shared" si="34"/>
        <v>704474.46517617174</v>
      </c>
      <c r="G152" s="78">
        <v>0.98789473684209383</v>
      </c>
      <c r="H152" s="78">
        <v>178.31819548872204</v>
      </c>
      <c r="I152" s="78">
        <f t="shared" si="30"/>
        <v>0.98789473684209383</v>
      </c>
      <c r="J152" s="78">
        <f t="shared" si="30"/>
        <v>178.31819548872204</v>
      </c>
      <c r="K152" s="30">
        <f t="shared" si="33"/>
        <v>0</v>
      </c>
      <c r="L152" s="93">
        <f>'Rate Class Customer Model'!E77</f>
        <v>2997.7220860680095</v>
      </c>
      <c r="M152" s="30">
        <f t="shared" si="28"/>
        <v>150</v>
      </c>
      <c r="N152" s="100">
        <f t="shared" si="31"/>
        <v>0.25</v>
      </c>
      <c r="O152" s="30">
        <f t="shared" si="29"/>
        <v>8176805.8824650897</v>
      </c>
      <c r="P152" s="30">
        <f t="shared" si="21"/>
        <v>7472331.417288918</v>
      </c>
      <c r="Q152" s="30">
        <f t="shared" si="22"/>
        <v>8176805.8824650897</v>
      </c>
      <c r="R152" s="48"/>
      <c r="S152">
        <f>'GS &lt; 50 kW'!Q152</f>
        <v>0.5</v>
      </c>
      <c r="T152" s="28"/>
      <c r="U152" s="39"/>
    </row>
    <row r="153" spans="1:21" x14ac:dyDescent="0.2">
      <c r="A153" s="2">
        <v>45108</v>
      </c>
      <c r="B153">
        <f t="shared" si="24"/>
        <v>2023</v>
      </c>
      <c r="C153">
        <f t="shared" si="25"/>
        <v>7</v>
      </c>
      <c r="E153" s="58">
        <f t="shared" si="34"/>
        <v>704474.46517617174</v>
      </c>
      <c r="G153" s="78">
        <v>0</v>
      </c>
      <c r="H153" s="78">
        <v>274.61368421052634</v>
      </c>
      <c r="I153" s="78">
        <f t="shared" si="30"/>
        <v>0</v>
      </c>
      <c r="J153" s="78">
        <f t="shared" si="30"/>
        <v>274.61368421052634</v>
      </c>
      <c r="K153" s="30">
        <f t="shared" si="33"/>
        <v>0</v>
      </c>
      <c r="L153" s="93">
        <f>'Rate Class Customer Model'!E78</f>
        <v>3002.2144119337172</v>
      </c>
      <c r="M153" s="30">
        <f t="shared" si="28"/>
        <v>151</v>
      </c>
      <c r="N153" s="100">
        <f t="shared" si="31"/>
        <v>0.25</v>
      </c>
      <c r="O153" s="30">
        <f t="shared" si="29"/>
        <v>8661702.6087081283</v>
      </c>
      <c r="P153" s="30">
        <f t="shared" si="21"/>
        <v>7957228.1435319567</v>
      </c>
      <c r="Q153" s="30">
        <f t="shared" si="22"/>
        <v>8661702.6087081283</v>
      </c>
      <c r="R153" s="48"/>
      <c r="S153">
        <f>'GS &lt; 50 kW'!Q153</f>
        <v>0.5</v>
      </c>
      <c r="T153" s="28"/>
      <c r="U153" s="39"/>
    </row>
    <row r="154" spans="1:21" x14ac:dyDescent="0.2">
      <c r="A154" s="2">
        <v>45139</v>
      </c>
      <c r="B154">
        <f t="shared" si="24"/>
        <v>2023</v>
      </c>
      <c r="C154">
        <f t="shared" si="25"/>
        <v>8</v>
      </c>
      <c r="E154" s="58">
        <f t="shared" si="34"/>
        <v>704474.46517617174</v>
      </c>
      <c r="G154" s="78">
        <v>0</v>
      </c>
      <c r="H154" s="78">
        <v>254.56293233082715</v>
      </c>
      <c r="I154" s="78">
        <f t="shared" si="30"/>
        <v>0</v>
      </c>
      <c r="J154" s="78">
        <f t="shared" si="30"/>
        <v>254.56293233082715</v>
      </c>
      <c r="K154" s="30">
        <f t="shared" si="33"/>
        <v>0</v>
      </c>
      <c r="L154" s="93">
        <f>'Rate Class Customer Model'!E79</f>
        <v>3006.7134699083745</v>
      </c>
      <c r="M154" s="30">
        <f t="shared" si="28"/>
        <v>152</v>
      </c>
      <c r="N154" s="100">
        <f t="shared" si="31"/>
        <v>0.25</v>
      </c>
      <c r="O154" s="30">
        <f t="shared" si="29"/>
        <v>8572411.3545331638</v>
      </c>
      <c r="P154" s="30">
        <f t="shared" si="21"/>
        <v>7867936.8893569922</v>
      </c>
      <c r="Q154" s="30">
        <f t="shared" si="22"/>
        <v>8572411.3545331638</v>
      </c>
      <c r="R154" s="48"/>
      <c r="S154">
        <f>'GS &lt; 50 kW'!Q154</f>
        <v>0.5</v>
      </c>
      <c r="T154" s="28"/>
      <c r="U154" s="39"/>
    </row>
    <row r="155" spans="1:21" x14ac:dyDescent="0.2">
      <c r="A155" s="2">
        <v>45170</v>
      </c>
      <c r="B155">
        <f t="shared" si="24"/>
        <v>2023</v>
      </c>
      <c r="C155">
        <f t="shared" si="25"/>
        <v>9</v>
      </c>
      <c r="E155" s="58">
        <f t="shared" si="34"/>
        <v>704474.46517617174</v>
      </c>
      <c r="G155" s="78">
        <v>9.991278195488718</v>
      </c>
      <c r="H155" s="78">
        <v>120.42842105263159</v>
      </c>
      <c r="I155" s="78">
        <f t="shared" si="30"/>
        <v>9.991278195488718</v>
      </c>
      <c r="J155" s="78">
        <f t="shared" si="30"/>
        <v>120.42842105263159</v>
      </c>
      <c r="K155" s="30">
        <f t="shared" si="33"/>
        <v>1</v>
      </c>
      <c r="L155" s="93">
        <f>'Rate Class Customer Model'!E80</f>
        <v>3011.219270080584</v>
      </c>
      <c r="M155" s="30">
        <f t="shared" si="28"/>
        <v>153</v>
      </c>
      <c r="N155" s="100">
        <f t="shared" si="31"/>
        <v>0.25</v>
      </c>
      <c r="O155" s="30">
        <f t="shared" si="29"/>
        <v>7664108.2655245103</v>
      </c>
      <c r="P155" s="30">
        <f t="shared" si="21"/>
        <v>6959633.8003483387</v>
      </c>
      <c r="Q155" s="30">
        <f t="shared" si="22"/>
        <v>7664108.2655245103</v>
      </c>
      <c r="R155" s="48"/>
      <c r="S155">
        <f>'GS &lt; 50 kW'!Q155</f>
        <v>0.5</v>
      </c>
      <c r="T155" s="28"/>
      <c r="U155" s="39"/>
    </row>
    <row r="156" spans="1:21" x14ac:dyDescent="0.2">
      <c r="A156" s="2">
        <v>45200</v>
      </c>
      <c r="B156">
        <f t="shared" si="24"/>
        <v>2023</v>
      </c>
      <c r="C156">
        <f t="shared" si="25"/>
        <v>10</v>
      </c>
      <c r="E156" s="58">
        <f t="shared" si="34"/>
        <v>704474.46517617174</v>
      </c>
      <c r="G156" s="78">
        <v>105.69917293233129</v>
      </c>
      <c r="H156" s="78">
        <v>26.279699248120323</v>
      </c>
      <c r="I156" s="78">
        <f t="shared" si="30"/>
        <v>105.69917293233129</v>
      </c>
      <c r="J156" s="78">
        <f t="shared" si="30"/>
        <v>26.279699248120323</v>
      </c>
      <c r="K156" s="30">
        <f t="shared" si="33"/>
        <v>1</v>
      </c>
      <c r="L156" s="93">
        <f>'Rate Class Customer Model'!E81</f>
        <v>3015.7318225540671</v>
      </c>
      <c r="M156" s="30">
        <f t="shared" si="28"/>
        <v>154</v>
      </c>
      <c r="N156" s="100">
        <f t="shared" si="31"/>
        <v>0.25</v>
      </c>
      <c r="O156" s="30">
        <f t="shared" si="29"/>
        <v>7536247.6086925846</v>
      </c>
      <c r="P156" s="30">
        <f t="shared" si="21"/>
        <v>6831773.1435164129</v>
      </c>
      <c r="Q156" s="30">
        <f t="shared" si="22"/>
        <v>7536247.6086925846</v>
      </c>
      <c r="R156" s="48"/>
      <c r="S156">
        <f>'GS &lt; 50 kW'!Q156</f>
        <v>0.5</v>
      </c>
      <c r="T156" s="28"/>
      <c r="U156" s="39"/>
    </row>
    <row r="157" spans="1:21" x14ac:dyDescent="0.2">
      <c r="A157" s="2">
        <v>45231</v>
      </c>
      <c r="B157">
        <f t="shared" si="24"/>
        <v>2023</v>
      </c>
      <c r="C157">
        <f t="shared" si="25"/>
        <v>11</v>
      </c>
      <c r="E157" s="58">
        <f t="shared" si="34"/>
        <v>704474.46517617174</v>
      </c>
      <c r="G157" s="78">
        <v>306.35210526315814</v>
      </c>
      <c r="H157" s="78">
        <v>1.41834586466166</v>
      </c>
      <c r="I157" s="78">
        <f t="shared" si="30"/>
        <v>306.35210526315814</v>
      </c>
      <c r="J157" s="78">
        <f t="shared" si="30"/>
        <v>1.41834586466166</v>
      </c>
      <c r="K157" s="30">
        <f t="shared" si="33"/>
        <v>1</v>
      </c>
      <c r="L157" s="93">
        <f>'Rate Class Customer Model'!E82</f>
        <v>3020.2511374476858</v>
      </c>
      <c r="M157" s="30">
        <f t="shared" si="28"/>
        <v>155</v>
      </c>
      <c r="N157" s="100">
        <f t="shared" si="31"/>
        <v>0.25</v>
      </c>
      <c r="O157" s="30">
        <f t="shared" si="29"/>
        <v>8113419.69292235</v>
      </c>
      <c r="P157" s="30">
        <f t="shared" si="21"/>
        <v>7408945.2277461784</v>
      </c>
      <c r="Q157" s="30">
        <f t="shared" si="22"/>
        <v>8113419.69292235</v>
      </c>
      <c r="R157" s="48"/>
      <c r="S157">
        <f>'GS &lt; 50 kW'!Q157</f>
        <v>0.5</v>
      </c>
      <c r="T157" s="28"/>
    </row>
    <row r="158" spans="1:21" x14ac:dyDescent="0.2">
      <c r="A158" s="2">
        <v>45261</v>
      </c>
      <c r="B158">
        <f t="shared" si="24"/>
        <v>2023</v>
      </c>
      <c r="C158">
        <f t="shared" si="25"/>
        <v>12</v>
      </c>
      <c r="E158" s="58">
        <f t="shared" si="34"/>
        <v>704474.46517617174</v>
      </c>
      <c r="G158" s="78">
        <v>434.76127819548765</v>
      </c>
      <c r="H158" s="78">
        <v>0</v>
      </c>
      <c r="I158" s="78">
        <f t="shared" si="30"/>
        <v>434.76127819548765</v>
      </c>
      <c r="J158" s="78">
        <f t="shared" si="30"/>
        <v>0</v>
      </c>
      <c r="K158" s="30">
        <f t="shared" si="33"/>
        <v>0</v>
      </c>
      <c r="L158" s="93">
        <f>'Rate Class Customer Model'!E83</f>
        <v>3024.777224895467</v>
      </c>
      <c r="M158" s="30">
        <f t="shared" si="28"/>
        <v>156</v>
      </c>
      <c r="N158" s="100">
        <f t="shared" si="31"/>
        <v>0.25</v>
      </c>
      <c r="O158" s="30">
        <f t="shared" si="29"/>
        <v>8845523.4729802199</v>
      </c>
      <c r="P158" s="30">
        <f t="shared" si="21"/>
        <v>8141049.0078040482</v>
      </c>
      <c r="Q158" s="30">
        <f t="shared" si="22"/>
        <v>8845523.4729802199</v>
      </c>
      <c r="R158" s="48"/>
      <c r="S158">
        <f>'GS &lt; 50 kW'!Q158</f>
        <v>0.5</v>
      </c>
      <c r="T158" s="28"/>
    </row>
    <row r="159" spans="1:21" x14ac:dyDescent="0.2">
      <c r="A159" s="2"/>
      <c r="B159" s="2"/>
      <c r="C159" s="2"/>
      <c r="D159" s="2"/>
      <c r="E159" s="2"/>
      <c r="G159" s="50"/>
      <c r="H159" s="50"/>
      <c r="I159" s="50"/>
      <c r="J159" s="50"/>
      <c r="K159" s="30"/>
      <c r="L159" s="56"/>
      <c r="M159" s="30"/>
      <c r="N159" s="30"/>
      <c r="O159" s="30"/>
      <c r="P159" s="30"/>
      <c r="Q159" s="30"/>
      <c r="R159" s="77"/>
    </row>
    <row r="160" spans="1:21" x14ac:dyDescent="0.2">
      <c r="A160" s="2"/>
      <c r="B160" s="2"/>
      <c r="C160" s="2"/>
      <c r="D160" s="2"/>
      <c r="E160" s="2"/>
      <c r="G160" s="50"/>
      <c r="H160" s="50"/>
      <c r="I160" s="50"/>
      <c r="J160" s="50"/>
      <c r="K160" s="30"/>
      <c r="L160" s="56"/>
      <c r="M160" s="30"/>
      <c r="N160" s="30"/>
      <c r="O160" s="30"/>
      <c r="P160" s="30"/>
      <c r="Q160" s="30"/>
      <c r="R160" s="48"/>
    </row>
    <row r="161" spans="1:33" x14ac:dyDescent="0.2">
      <c r="A161" s="2"/>
      <c r="B161" s="2"/>
      <c r="C161" s="2"/>
      <c r="D161" s="2"/>
      <c r="E161" s="2"/>
      <c r="G161" s="50"/>
      <c r="H161" s="50"/>
      <c r="I161" s="50"/>
      <c r="J161" s="50"/>
      <c r="K161" s="30"/>
      <c r="L161" s="56"/>
      <c r="M161" s="30"/>
      <c r="N161" s="30"/>
      <c r="O161" s="30"/>
      <c r="P161" s="30"/>
      <c r="Q161" s="30"/>
      <c r="R161" s="48"/>
    </row>
    <row r="162" spans="1:33" x14ac:dyDescent="0.2">
      <c r="A162" s="2"/>
      <c r="B162" s="2"/>
      <c r="C162" s="2"/>
      <c r="D162" s="2"/>
      <c r="E162" s="2"/>
      <c r="G162" s="50"/>
      <c r="H162" s="50"/>
      <c r="I162" s="50"/>
      <c r="J162" s="50"/>
      <c r="K162" s="30"/>
      <c r="L162" s="56"/>
      <c r="M162" s="30"/>
      <c r="N162" s="30"/>
      <c r="O162" s="30"/>
      <c r="P162" s="30"/>
      <c r="Q162" s="30"/>
      <c r="R162" s="48"/>
    </row>
    <row r="163" spans="1:33" x14ac:dyDescent="0.2">
      <c r="A163" s="2"/>
      <c r="B163" s="2"/>
      <c r="C163" s="2"/>
      <c r="D163" s="2"/>
      <c r="E163" s="2"/>
      <c r="G163" s="50"/>
      <c r="H163" s="50"/>
      <c r="I163" s="50"/>
      <c r="J163" s="50"/>
      <c r="M163" s="27"/>
      <c r="O163" s="25"/>
      <c r="P163" s="25"/>
    </row>
    <row r="164" spans="1:33" x14ac:dyDescent="0.2">
      <c r="A164" s="2"/>
      <c r="B164" s="2"/>
      <c r="C164" s="2"/>
      <c r="D164" s="2"/>
      <c r="E164" s="2"/>
    </row>
    <row r="165" spans="1:33" x14ac:dyDescent="0.2">
      <c r="A165" s="2"/>
      <c r="B165" s="2"/>
      <c r="C165" s="2"/>
      <c r="D165" s="85" t="s">
        <v>82</v>
      </c>
      <c r="E165" s="85" t="s">
        <v>72</v>
      </c>
      <c r="F165" s="37" t="s">
        <v>73</v>
      </c>
      <c r="L165" s="1"/>
      <c r="N165" s="55"/>
      <c r="P165" s="76" t="s">
        <v>83</v>
      </c>
      <c r="Q165" s="76" t="s">
        <v>72</v>
      </c>
      <c r="R165" s="76" t="s">
        <v>84</v>
      </c>
      <c r="S165" s="131" t="s">
        <v>127</v>
      </c>
      <c r="T165" s="131" t="s">
        <v>128</v>
      </c>
    </row>
    <row r="166" spans="1:33" x14ac:dyDescent="0.2">
      <c r="A166" s="10">
        <v>2011</v>
      </c>
      <c r="B166" s="10"/>
      <c r="C166" s="10"/>
      <c r="D166" s="39">
        <f>SUMIF(B:B,A166,D:D)</f>
        <v>83338833.540000021</v>
      </c>
      <c r="E166" s="39">
        <f>SUMIF(B:B,A166,E:E)</f>
        <v>113611.44815883051</v>
      </c>
      <c r="F166" s="5">
        <f>SUMIF(B:B,A166,F:F)</f>
        <v>83452444.988158852</v>
      </c>
      <c r="L166" s="1"/>
      <c r="N166" s="55"/>
      <c r="P166" s="5">
        <f t="shared" ref="P166:P178" si="35">SUMIF(B:B,A166,O:O)</f>
        <v>83311453.756336212</v>
      </c>
      <c r="Q166" s="55">
        <v>113611.44815883054</v>
      </c>
      <c r="R166" s="55">
        <f t="shared" ref="R166:R178" si="36">SUMIF(B:B,A166,P:P)</f>
        <v>83197842.308177397</v>
      </c>
    </row>
    <row r="167" spans="1:33" x14ac:dyDescent="0.2">
      <c r="A167" s="10">
        <f>A166+1</f>
        <v>2012</v>
      </c>
      <c r="B167" s="10"/>
      <c r="C167" s="10"/>
      <c r="D167" s="39">
        <f t="shared" ref="D167:D175" si="37">SUMIF(B:B,A167,D:D)</f>
        <v>84168273.069999993</v>
      </c>
      <c r="E167" s="39">
        <f t="shared" ref="E167:E176" si="38">SUMIF(B:B,A167,E:E)</f>
        <v>385670.09388452605</v>
      </c>
      <c r="F167" s="5">
        <f t="shared" ref="F167:F176" si="39">SUMIF(B:B,A167,F:F)</f>
        <v>84553943.163884521</v>
      </c>
      <c r="L167" s="1"/>
      <c r="N167" s="55"/>
      <c r="P167" s="5">
        <f t="shared" si="35"/>
        <v>85629682.245440602</v>
      </c>
      <c r="Q167" s="55">
        <v>385670.09388452594</v>
      </c>
      <c r="R167" s="55">
        <f t="shared" si="36"/>
        <v>85244012.151556075</v>
      </c>
    </row>
    <row r="168" spans="1:33" x14ac:dyDescent="0.2">
      <c r="A168" s="10">
        <f t="shared" ref="A168:A178" si="40">A167+1</f>
        <v>2013</v>
      </c>
      <c r="B168" s="10"/>
      <c r="C168" s="10"/>
      <c r="D168" s="39">
        <f t="shared" si="37"/>
        <v>87021883.129999995</v>
      </c>
      <c r="E168" s="39">
        <f t="shared" si="38"/>
        <v>773377.78722497867</v>
      </c>
      <c r="F168" s="5">
        <f t="shared" si="39"/>
        <v>87795260.917224973</v>
      </c>
      <c r="L168" s="1"/>
      <c r="N168" s="55"/>
      <c r="P168" s="5">
        <f t="shared" si="35"/>
        <v>87835554.612877563</v>
      </c>
      <c r="Q168" s="55">
        <v>773377.78722497891</v>
      </c>
      <c r="R168" s="55">
        <f t="shared" si="36"/>
        <v>87062176.825652599</v>
      </c>
    </row>
    <row r="169" spans="1:33" x14ac:dyDescent="0.2">
      <c r="A169" s="10">
        <f t="shared" si="40"/>
        <v>2014</v>
      </c>
      <c r="D169" s="39">
        <f t="shared" si="37"/>
        <v>88384426.730000004</v>
      </c>
      <c r="E169" s="39">
        <f t="shared" si="38"/>
        <v>1266618.7406463188</v>
      </c>
      <c r="F169" s="5">
        <f t="shared" si="39"/>
        <v>89651045.470646307</v>
      </c>
      <c r="L169" s="1"/>
      <c r="N169" s="55"/>
      <c r="P169" s="5">
        <f t="shared" si="35"/>
        <v>88956232.039634451</v>
      </c>
      <c r="Q169" s="55">
        <v>1266618.7406463188</v>
      </c>
      <c r="R169" s="55">
        <f t="shared" si="36"/>
        <v>87689613.298988119</v>
      </c>
    </row>
    <row r="170" spans="1:33" x14ac:dyDescent="0.2">
      <c r="A170" s="10">
        <f t="shared" si="40"/>
        <v>2015</v>
      </c>
      <c r="B170" s="10"/>
      <c r="C170" s="10"/>
      <c r="D170" s="39">
        <f t="shared" si="37"/>
        <v>88333188.626506001</v>
      </c>
      <c r="E170" s="39">
        <f t="shared" si="38"/>
        <v>2339249.6059254631</v>
      </c>
      <c r="F170" s="5">
        <f t="shared" si="39"/>
        <v>90672438.232431471</v>
      </c>
      <c r="L170" s="1"/>
      <c r="N170" s="55"/>
      <c r="P170" s="5">
        <f t="shared" si="35"/>
        <v>90430676.969995499</v>
      </c>
      <c r="Q170" s="55">
        <v>2339249.6059254631</v>
      </c>
      <c r="R170" s="55">
        <f t="shared" si="36"/>
        <v>88091427.364070043</v>
      </c>
      <c r="AE170" s="37"/>
      <c r="AF170" s="37"/>
      <c r="AG170" s="37"/>
    </row>
    <row r="171" spans="1:33" x14ac:dyDescent="0.2">
      <c r="A171" s="10">
        <f t="shared" si="40"/>
        <v>2016</v>
      </c>
      <c r="D171" s="39">
        <f t="shared" si="37"/>
        <v>88749928.414457858</v>
      </c>
      <c r="E171" s="39">
        <f t="shared" si="38"/>
        <v>3982403.6897298838</v>
      </c>
      <c r="F171" s="5">
        <f t="shared" si="39"/>
        <v>92732332.104187712</v>
      </c>
      <c r="L171" s="1"/>
      <c r="N171" s="55"/>
      <c r="P171" s="5">
        <f t="shared" si="35"/>
        <v>92236883.445579067</v>
      </c>
      <c r="Q171" s="55">
        <v>3982403.6897298833</v>
      </c>
      <c r="R171" s="55">
        <f t="shared" si="36"/>
        <v>88254479.755849198</v>
      </c>
    </row>
    <row r="172" spans="1:33" x14ac:dyDescent="0.2">
      <c r="A172" s="10">
        <f t="shared" si="40"/>
        <v>2017</v>
      </c>
      <c r="B172" s="10"/>
      <c r="C172" s="10"/>
      <c r="D172" s="39">
        <f t="shared" si="37"/>
        <v>82899471.903614432</v>
      </c>
      <c r="E172" s="39">
        <f t="shared" si="38"/>
        <v>5103921.7460673954</v>
      </c>
      <c r="F172" s="5">
        <f t="shared" si="39"/>
        <v>88003393.649681836</v>
      </c>
      <c r="L172" s="1"/>
      <c r="N172" s="55"/>
      <c r="P172" s="5">
        <f t="shared" si="35"/>
        <v>88744673.153392389</v>
      </c>
      <c r="Q172" s="55">
        <v>5103921.7460673954</v>
      </c>
      <c r="R172" s="55">
        <f t="shared" si="36"/>
        <v>83640751.407325</v>
      </c>
    </row>
    <row r="173" spans="1:33" x14ac:dyDescent="0.2">
      <c r="A173" s="10">
        <f t="shared" si="40"/>
        <v>2018</v>
      </c>
      <c r="D173" s="39">
        <f t="shared" si="37"/>
        <v>86093744.838554204</v>
      </c>
      <c r="E173" s="39">
        <f t="shared" si="38"/>
        <v>6203925.366380427</v>
      </c>
      <c r="F173" s="5">
        <f t="shared" si="39"/>
        <v>92297670.204934612</v>
      </c>
      <c r="L173" s="1"/>
      <c r="N173" s="55"/>
      <c r="P173" s="5">
        <f t="shared" si="35"/>
        <v>91158086.282593429</v>
      </c>
      <c r="Q173" s="55">
        <v>6203925.3663804261</v>
      </c>
      <c r="R173" s="55">
        <f t="shared" si="36"/>
        <v>84954160.916213006</v>
      </c>
    </row>
    <row r="174" spans="1:33" x14ac:dyDescent="0.2">
      <c r="A174" s="10">
        <f t="shared" si="40"/>
        <v>2019</v>
      </c>
      <c r="B174" s="10"/>
      <c r="C174" s="10"/>
      <c r="D174" s="39">
        <f t="shared" si="37"/>
        <v>83808650.746987954</v>
      </c>
      <c r="E174" s="39">
        <f t="shared" si="38"/>
        <v>7283282.6936984016</v>
      </c>
      <c r="F174" s="5">
        <f t="shared" si="39"/>
        <v>91091933.440686345</v>
      </c>
      <c r="L174" s="1"/>
      <c r="N174" s="55"/>
      <c r="P174" s="5">
        <f t="shared" si="35"/>
        <v>90803729.970371485</v>
      </c>
      <c r="Q174" s="55">
        <v>7283282.6936984016</v>
      </c>
      <c r="R174" s="55">
        <f t="shared" si="36"/>
        <v>83520447.276673108</v>
      </c>
    </row>
    <row r="175" spans="1:33" x14ac:dyDescent="0.2">
      <c r="A175" s="10">
        <f t="shared" si="40"/>
        <v>2020</v>
      </c>
      <c r="D175" s="39">
        <f t="shared" si="37"/>
        <v>79694764.992771059</v>
      </c>
      <c r="E175" s="39">
        <f t="shared" si="38"/>
        <v>7797753.6168311285</v>
      </c>
      <c r="F175" s="5">
        <f t="shared" si="39"/>
        <v>87492518.609602198</v>
      </c>
      <c r="L175" s="1"/>
      <c r="N175" s="55"/>
      <c r="P175" s="5">
        <f t="shared" si="35"/>
        <v>87805585.239499986</v>
      </c>
      <c r="Q175" s="55">
        <v>7797753.6168311285</v>
      </c>
      <c r="R175" s="55">
        <f t="shared" si="36"/>
        <v>80007831.622668877</v>
      </c>
      <c r="S175" s="5"/>
    </row>
    <row r="176" spans="1:33" x14ac:dyDescent="0.2">
      <c r="A176" s="10">
        <f t="shared" si="40"/>
        <v>2021</v>
      </c>
      <c r="B176" s="10"/>
      <c r="C176" s="10"/>
      <c r="D176" s="39">
        <f>SUMIF(B:B,A176,D:D)</f>
        <v>85479169.763855413</v>
      </c>
      <c r="E176" s="39">
        <f t="shared" si="38"/>
        <v>8827514.388289284</v>
      </c>
      <c r="F176" s="5">
        <f t="shared" si="39"/>
        <v>94306684.15214467</v>
      </c>
      <c r="L176" s="1"/>
      <c r="N176" s="55"/>
      <c r="P176" s="5">
        <f t="shared" si="35"/>
        <v>94679446.404966235</v>
      </c>
      <c r="Q176" s="55">
        <v>8827514.3882892821</v>
      </c>
      <c r="R176" s="55">
        <f t="shared" si="36"/>
        <v>85851932.016676947</v>
      </c>
      <c r="S176" s="5"/>
    </row>
    <row r="177" spans="1:33" x14ac:dyDescent="0.2">
      <c r="A177" s="10">
        <f t="shared" si="40"/>
        <v>2022</v>
      </c>
      <c r="B177" s="10"/>
      <c r="C177" s="10"/>
      <c r="D177" s="39"/>
      <c r="E177" s="39"/>
      <c r="L177" s="1"/>
      <c r="N177" s="55"/>
      <c r="P177" s="5">
        <f t="shared" si="35"/>
        <v>97841876.9329862</v>
      </c>
      <c r="Q177" s="55">
        <v>8635789.100729743</v>
      </c>
      <c r="R177" s="55">
        <f t="shared" si="36"/>
        <v>89206087.832256451</v>
      </c>
      <c r="S177" s="28">
        <f>'Rate Class Energy Model'!$D$20</f>
        <v>3301337.770131859</v>
      </c>
      <c r="T177" s="58">
        <f>R177-S177</f>
        <v>85904750.062124595</v>
      </c>
    </row>
    <row r="178" spans="1:33" x14ac:dyDescent="0.2">
      <c r="A178" s="10">
        <f t="shared" si="40"/>
        <v>2023</v>
      </c>
      <c r="D178" s="39"/>
      <c r="E178" s="39"/>
      <c r="K178" s="41"/>
      <c r="L178" s="41"/>
      <c r="N178" s="52"/>
      <c r="O178" s="41"/>
      <c r="P178" s="5">
        <f t="shared" si="35"/>
        <v>100306312.71125567</v>
      </c>
      <c r="Q178" s="55">
        <v>8453693.5821140613</v>
      </c>
      <c r="R178" s="55">
        <f t="shared" si="36"/>
        <v>91852619.129141614</v>
      </c>
      <c r="S178" s="28">
        <f>'Rate Class Energy Model'!$D$20</f>
        <v>3301337.770131859</v>
      </c>
      <c r="T178" s="58">
        <f>R178-S178</f>
        <v>88551281.359009758</v>
      </c>
    </row>
    <row r="179" spans="1:33" x14ac:dyDescent="0.2">
      <c r="A179" s="27" t="s">
        <v>94</v>
      </c>
      <c r="B179" s="27"/>
      <c r="C179" s="27"/>
      <c r="D179" s="27"/>
      <c r="E179" s="27"/>
      <c r="O179" s="5"/>
      <c r="P179" s="5"/>
      <c r="Q179" s="5"/>
    </row>
    <row r="181" spans="1:33" x14ac:dyDescent="0.2">
      <c r="O181" s="5"/>
      <c r="P181" s="5"/>
      <c r="Q181" s="25"/>
    </row>
    <row r="182" spans="1:33" x14ac:dyDescent="0.2">
      <c r="S182" s="39"/>
    </row>
    <row r="183" spans="1:33" x14ac:dyDescent="0.2">
      <c r="S183" s="39"/>
    </row>
    <row r="184" spans="1:33" x14ac:dyDescent="0.2">
      <c r="AE184" s="37"/>
      <c r="AF184" s="37"/>
      <c r="AG184" s="37"/>
    </row>
    <row r="195" spans="31:33" x14ac:dyDescent="0.2">
      <c r="AE195" s="37"/>
      <c r="AF195" s="37"/>
      <c r="AG195" s="37"/>
    </row>
  </sheetData>
  <mergeCells count="3">
    <mergeCell ref="A1:C1"/>
    <mergeCell ref="T144:T146"/>
    <mergeCell ref="U144:U146"/>
  </mergeCells>
  <pageMargins left="0.39370078740157483" right="0.74803149606299213" top="0.74803149606299213" bottom="0.74803149606299213" header="0.51181102362204722" footer="0.51181102362204722"/>
  <pageSetup orientation="portrait" r:id="rId1"/>
  <headerFooter alignWithMargins="0"/>
  <rowBreaks count="1" manualBreakCount="1">
    <brk id="110" max="39" man="1"/>
  </rowBreaks>
  <colBreaks count="2" manualBreakCount="2">
    <brk id="18" max="1048575" man="1"/>
    <brk id="28" max="222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227697F19F8B4DA3D5C2B74C50E32F" ma:contentTypeVersion="11" ma:contentTypeDescription="Create a new document." ma:contentTypeScope="" ma:versionID="b6aee784bd840b65af57fc2b35832e1c">
  <xsd:schema xmlns:xsd="http://www.w3.org/2001/XMLSchema" xmlns:xs="http://www.w3.org/2001/XMLSchema" xmlns:p="http://schemas.microsoft.com/office/2006/metadata/properties" xmlns:ns2="033d26b1-57eb-4b60-9c03-6b92d80595e4" xmlns:ns3="0f88fa1a-2dfd-460a-bd62-5264ee380bca" targetNamespace="http://schemas.microsoft.com/office/2006/metadata/properties" ma:root="true" ma:fieldsID="adee49a025b0f48a2887c5754bb363e6" ns2:_="" ns3:_="">
    <xsd:import namespace="033d26b1-57eb-4b60-9c03-6b92d80595e4"/>
    <xsd:import namespace="0f88fa1a-2dfd-460a-bd62-5264ee380b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3d26b1-57eb-4b60-9c03-6b92d80595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88fa1a-2dfd-460a-bd62-5264ee380bc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2B0129-12BC-4410-96F8-6CA915F74F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643D6F-D6DF-4066-9D95-785D67DF82EB}">
  <ds:schemaRefs>
    <ds:schemaRef ds:uri="http://schemas.microsoft.com/office/2006/metadata/properties"/>
    <ds:schemaRef ds:uri="033d26b1-57eb-4b60-9c03-6b92d80595e4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0f88fa1a-2dfd-460a-bd62-5264ee380bc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5E85632-39AE-4041-B08E-67A56AE569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3d26b1-57eb-4b60-9c03-6b92d80595e4"/>
    <ds:schemaRef ds:uri="0f88fa1a-2dfd-460a-bd62-5264ee380b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16</vt:i4>
      </vt:variant>
    </vt:vector>
  </HeadingPairs>
  <TitlesOfParts>
    <vt:vector size="26" baseType="lpstr">
      <vt:lpstr>GS &lt; 50 kW</vt:lpstr>
      <vt:lpstr>GS &gt; 50 kW</vt:lpstr>
      <vt:lpstr>Rate Class Energy Model</vt:lpstr>
      <vt:lpstr>Rate Class Customer Model</vt:lpstr>
      <vt:lpstr>Rate Class Load Model</vt:lpstr>
      <vt:lpstr>Summary</vt:lpstr>
      <vt:lpstr>GS &lt; 50 kW (WN)</vt:lpstr>
      <vt:lpstr>GS &gt; 50 kW (WN)</vt:lpstr>
      <vt:lpstr>GS &lt; 50 kW (WN) Trend</vt:lpstr>
      <vt:lpstr>GS &gt; 50 kW (WN) Trend</vt:lpstr>
      <vt:lpstr>'GS &lt; 50 kW'!Print_Area</vt:lpstr>
      <vt:lpstr>'GS &lt; 50 kW (WN)'!Print_Area</vt:lpstr>
      <vt:lpstr>'GS &lt; 50 kW (WN) Trend'!Print_Area</vt:lpstr>
      <vt:lpstr>'GS &gt; 50 kW'!Print_Area</vt:lpstr>
      <vt:lpstr>'GS &gt; 50 kW (WN)'!Print_Area</vt:lpstr>
      <vt:lpstr>'GS &gt; 50 kW (WN) Trend'!Print_Area</vt:lpstr>
      <vt:lpstr>'Rate Class Customer Model'!Print_Area</vt:lpstr>
      <vt:lpstr>'Rate Class Energy Model'!Print_Area</vt:lpstr>
      <vt:lpstr>'Rate Class Load Model'!Print_Area</vt:lpstr>
      <vt:lpstr>Summary!Print_Area</vt:lpstr>
      <vt:lpstr>'GS &lt; 50 kW'!Res_X</vt:lpstr>
      <vt:lpstr>'GS &lt; 50 kW (WN)'!Res_X</vt:lpstr>
      <vt:lpstr>'GS &lt; 50 kW (WN) Trend'!Res_X</vt:lpstr>
      <vt:lpstr>'GS &lt; 50 kW'!res_y</vt:lpstr>
      <vt:lpstr>'GS &lt; 50 kW (WN)'!res_y</vt:lpstr>
      <vt:lpstr>'GS &lt; 50 kW (WN) Trend'!res_y</vt:lpstr>
    </vt:vector>
  </TitlesOfParts>
  <Manager/>
  <Company>London Hydro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Bruce Bacon</dc:creator>
  <cp:keywords/>
  <dc:description/>
  <cp:lastModifiedBy>Andrew Blair</cp:lastModifiedBy>
  <cp:revision/>
  <dcterms:created xsi:type="dcterms:W3CDTF">2008-02-06T18:24:44Z</dcterms:created>
  <dcterms:modified xsi:type="dcterms:W3CDTF">2022-07-19T15:06:28Z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0x0101005B227697F19F8B4DA3D5C2B74C50E32F</vt:lpwstr>
  </property>
</Properties>
</file>