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ltonhydro.sharepoint.com/sites/2023ratecase/Shared Documents/1. 2023_CoS_Main/6. Interrogatories/4. OEB Interrogatories/"/>
    </mc:Choice>
  </mc:AlternateContent>
  <xr:revisionPtr revIDLastSave="0" documentId="13_ncr:1_{DF6DA5D7-10CD-46EE-87D3-7C6363A30B9A}" xr6:coauthVersionLast="47" xr6:coauthVersionMax="47" xr10:uidLastSave="{00000000-0000-0000-0000-000000000000}"/>
  <bookViews>
    <workbookView xWindow="-120" yWindow="-120" windowWidth="29040" windowHeight="15840" tabRatio="900" activeTab="1" xr2:uid="{00000000-000D-0000-FFFF-FFFF00000000}"/>
  </bookViews>
  <sheets>
    <sheet name="Residential" sheetId="20" r:id="rId1"/>
    <sheet name="Rate Class Energy Model" sheetId="9" r:id="rId2"/>
    <sheet name="Summary" sheetId="11" r:id="rId3"/>
    <sheet name="Residential (WN)" sheetId="44" r:id="rId4"/>
    <sheet name="Residential (WN) Trend" sheetId="5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'[3]Z1.ModelVariables'!$C$12</definedName>
    <definedName name="CAfile">[4]Refs!$B$2</definedName>
    <definedName name="CAPCOSTS">#REF!</definedName>
    <definedName name="CAPITAL">#REF!</definedName>
    <definedName name="CapitalExpListing">#REF!</definedName>
    <definedName name="CArevReq">[4]Refs!$B$6</definedName>
    <definedName name="CASHFLOW">#REF!</definedName>
    <definedName name="cc">#REF!</definedName>
    <definedName name="ClassRange1">[4]Refs!$B$3</definedName>
    <definedName name="ClassRange2">[4]Refs!$B$4</definedName>
    <definedName name="contactf">#REF!</definedName>
    <definedName name="_xlnm.Criteria">#REF!</definedName>
    <definedName name="CRLF">'[3]Z1.ModelVariables'!$C$10</definedName>
    <definedName name="_xlnm.Database">#REF!</definedName>
    <definedName name="DaysInPreviousYear">'[5]Distribution Revenue by Source'!$B$22</definedName>
    <definedName name="DaysInYear">'[5]Distribution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'[3]Z1.ModelVariables'!$C$14</definedName>
    <definedName name="FolderPath">[4]Menu!$C$8</definedName>
    <definedName name="histdate">[6]Financials!$E$76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[4]Refs!$B$8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_xlnm.Print_Area" localSheetId="1">'Rate Class Energy Model'!$A$1:$N$43</definedName>
    <definedName name="_xlnm.Print_Area" localSheetId="0">Residential!$S$144:$U$178</definedName>
    <definedName name="_xlnm.Print_Area" localSheetId="3">'Residential (WN)'!$U$144:$W$178</definedName>
    <definedName name="_xlnm.Print_Area" localSheetId="4">'Residential (WN) Trend'!$U$144:$W$178</definedName>
    <definedName name="_xlnm.Print_Area" localSheetId="2">Summary!$A$1:$O$62</definedName>
    <definedName name="Print_Area_MI">#REF!</definedName>
    <definedName name="print_end">#REF!</definedName>
    <definedName name="PRIOR">#REF!</definedName>
    <definedName name="Ratebase">'[5]Distribution Revenue by Source'!$C$25</definedName>
    <definedName name="Res_X">Residential!$G$2:$I$110</definedName>
    <definedName name="res_y">Residential!$F$3:$F$110</definedName>
    <definedName name="RevReqLookupKey">[4]Refs!$B$5</definedName>
    <definedName name="RevReqRange">[4]Refs!$B$7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'[3]A1.Admin'!$C$13</definedName>
    <definedName name="TestYrPL">'[7]Revenue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[6]Financials!$A$1</definedName>
    <definedName name="utitliy1">[8]Financials!$A$1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7" i="57" l="1"/>
  <c r="U135" i="57"/>
  <c r="A167" i="57" l="1"/>
  <c r="C158" i="57"/>
  <c r="B158" i="57"/>
  <c r="C157" i="57"/>
  <c r="B157" i="57"/>
  <c r="C156" i="57"/>
  <c r="B156" i="57"/>
  <c r="C155" i="57"/>
  <c r="B155" i="57"/>
  <c r="C154" i="57"/>
  <c r="B154" i="57"/>
  <c r="C153" i="57"/>
  <c r="B153" i="57"/>
  <c r="C152" i="57"/>
  <c r="B152" i="57"/>
  <c r="C151" i="57"/>
  <c r="B151" i="57"/>
  <c r="C150" i="57"/>
  <c r="B150" i="57"/>
  <c r="C149" i="57"/>
  <c r="B149" i="57"/>
  <c r="C148" i="57"/>
  <c r="B148" i="57"/>
  <c r="C147" i="57"/>
  <c r="B147" i="57"/>
  <c r="C146" i="57"/>
  <c r="B146" i="57"/>
  <c r="C145" i="57"/>
  <c r="B145" i="57"/>
  <c r="C144" i="57"/>
  <c r="B144" i="57"/>
  <c r="C143" i="57"/>
  <c r="B143" i="57"/>
  <c r="C142" i="57"/>
  <c r="B142" i="57"/>
  <c r="C141" i="57"/>
  <c r="B141" i="57"/>
  <c r="C140" i="57"/>
  <c r="B140" i="57"/>
  <c r="C139" i="57"/>
  <c r="B139" i="57"/>
  <c r="C138" i="57"/>
  <c r="B138" i="57"/>
  <c r="C137" i="57"/>
  <c r="B137" i="57"/>
  <c r="C136" i="57"/>
  <c r="B136" i="57"/>
  <c r="C135" i="57"/>
  <c r="B135" i="57"/>
  <c r="M146" i="57"/>
  <c r="M158" i="57" s="1"/>
  <c r="C134" i="57"/>
  <c r="B134" i="57"/>
  <c r="M145" i="57"/>
  <c r="M157" i="57" s="1"/>
  <c r="C133" i="57"/>
  <c r="B133" i="57"/>
  <c r="M144" i="57"/>
  <c r="M156" i="57" s="1"/>
  <c r="C132" i="57"/>
  <c r="B132" i="57"/>
  <c r="M143" i="57"/>
  <c r="M155" i="57" s="1"/>
  <c r="C131" i="57"/>
  <c r="B131" i="57"/>
  <c r="M142" i="57"/>
  <c r="M154" i="57" s="1"/>
  <c r="C130" i="57"/>
  <c r="B130" i="57"/>
  <c r="M141" i="57"/>
  <c r="M153" i="57" s="1"/>
  <c r="C129" i="57"/>
  <c r="B129" i="57"/>
  <c r="M140" i="57"/>
  <c r="M152" i="57" s="1"/>
  <c r="C128" i="57"/>
  <c r="B128" i="57"/>
  <c r="M139" i="57"/>
  <c r="M151" i="57" s="1"/>
  <c r="C127" i="57"/>
  <c r="B127" i="57"/>
  <c r="M138" i="57"/>
  <c r="M150" i="57" s="1"/>
  <c r="C126" i="57"/>
  <c r="B126" i="57"/>
  <c r="M137" i="57"/>
  <c r="M149" i="57" s="1"/>
  <c r="C125" i="57"/>
  <c r="B125" i="57"/>
  <c r="M136" i="57"/>
  <c r="M148" i="57" s="1"/>
  <c r="C124" i="57"/>
  <c r="B124" i="57"/>
  <c r="M135" i="57"/>
  <c r="M147" i="57" s="1"/>
  <c r="C123" i="57"/>
  <c r="B123" i="57"/>
  <c r="C122" i="57"/>
  <c r="B122" i="57"/>
  <c r="C121" i="57"/>
  <c r="B121" i="57"/>
  <c r="C120" i="57"/>
  <c r="B120" i="57"/>
  <c r="C119" i="57"/>
  <c r="B119" i="57"/>
  <c r="C118" i="57"/>
  <c r="B118" i="57"/>
  <c r="C117" i="57"/>
  <c r="B117" i="57"/>
  <c r="C116" i="57"/>
  <c r="B116" i="57"/>
  <c r="C115" i="57"/>
  <c r="B115" i="57"/>
  <c r="C114" i="57"/>
  <c r="B114" i="57"/>
  <c r="C113" i="57"/>
  <c r="B113" i="57"/>
  <c r="C112" i="57"/>
  <c r="B112" i="57"/>
  <c r="C111" i="57"/>
  <c r="B111" i="57"/>
  <c r="L158" i="57"/>
  <c r="K158" i="57"/>
  <c r="C110" i="57"/>
  <c r="B110" i="57"/>
  <c r="L157" i="57"/>
  <c r="K157" i="57"/>
  <c r="C109" i="57"/>
  <c r="B109" i="57"/>
  <c r="L156" i="57"/>
  <c r="K156" i="57"/>
  <c r="C108" i="57"/>
  <c r="B108" i="57"/>
  <c r="L155" i="57"/>
  <c r="K155" i="57"/>
  <c r="C107" i="57"/>
  <c r="B107" i="57"/>
  <c r="L154" i="57"/>
  <c r="K154" i="57"/>
  <c r="C106" i="57"/>
  <c r="B106" i="57"/>
  <c r="L153" i="57"/>
  <c r="K153" i="57"/>
  <c r="C105" i="57"/>
  <c r="B105" i="57"/>
  <c r="L152" i="57"/>
  <c r="K152" i="57"/>
  <c r="C104" i="57"/>
  <c r="B104" i="57"/>
  <c r="L151" i="57"/>
  <c r="K151" i="57"/>
  <c r="C103" i="57"/>
  <c r="B103" i="57"/>
  <c r="L150" i="57"/>
  <c r="K150" i="57"/>
  <c r="C102" i="57"/>
  <c r="B102" i="57"/>
  <c r="L149" i="57"/>
  <c r="K149" i="57"/>
  <c r="C101" i="57"/>
  <c r="B101" i="57"/>
  <c r="L148" i="57"/>
  <c r="K148" i="57"/>
  <c r="C100" i="57"/>
  <c r="B100" i="57"/>
  <c r="L147" i="57"/>
  <c r="K147" i="57"/>
  <c r="C99" i="57"/>
  <c r="B99" i="57"/>
  <c r="L146" i="57"/>
  <c r="K146" i="57"/>
  <c r="C98" i="57"/>
  <c r="B98" i="57"/>
  <c r="L145" i="57"/>
  <c r="K145" i="57"/>
  <c r="C97" i="57"/>
  <c r="B97" i="57"/>
  <c r="L144" i="57"/>
  <c r="K144" i="57"/>
  <c r="C96" i="57"/>
  <c r="B96" i="57"/>
  <c r="L143" i="57"/>
  <c r="K143" i="57"/>
  <c r="C95" i="57"/>
  <c r="B95" i="57"/>
  <c r="L142" i="57"/>
  <c r="K142" i="57"/>
  <c r="C94" i="57"/>
  <c r="B94" i="57"/>
  <c r="L141" i="57"/>
  <c r="K141" i="57"/>
  <c r="C93" i="57"/>
  <c r="B93" i="57"/>
  <c r="L140" i="57"/>
  <c r="K140" i="57"/>
  <c r="C92" i="57"/>
  <c r="B92" i="57"/>
  <c r="L139" i="57"/>
  <c r="K139" i="57"/>
  <c r="C91" i="57"/>
  <c r="B91" i="57"/>
  <c r="L138" i="57"/>
  <c r="K138" i="57"/>
  <c r="C90" i="57"/>
  <c r="B90" i="57"/>
  <c r="L137" i="57"/>
  <c r="K137" i="57"/>
  <c r="C89" i="57"/>
  <c r="B89" i="57"/>
  <c r="L136" i="57"/>
  <c r="K136" i="57"/>
  <c r="C88" i="57"/>
  <c r="B88" i="57"/>
  <c r="L135" i="57"/>
  <c r="K135" i="57"/>
  <c r="C87" i="57"/>
  <c r="B87" i="57"/>
  <c r="K134" i="57"/>
  <c r="C86" i="57"/>
  <c r="B86" i="57"/>
  <c r="K133" i="57"/>
  <c r="C85" i="57"/>
  <c r="B85" i="57"/>
  <c r="C84" i="57"/>
  <c r="B84" i="57"/>
  <c r="C83" i="57"/>
  <c r="B83" i="57"/>
  <c r="C82" i="57"/>
  <c r="B82" i="57"/>
  <c r="C81" i="57"/>
  <c r="B81" i="57"/>
  <c r="C80" i="57"/>
  <c r="B80" i="57"/>
  <c r="K127" i="57"/>
  <c r="C79" i="57"/>
  <c r="B79" i="57"/>
  <c r="K126" i="57"/>
  <c r="C78" i="57"/>
  <c r="B78" i="57"/>
  <c r="C77" i="57"/>
  <c r="B77" i="57"/>
  <c r="C76" i="57"/>
  <c r="B76" i="57"/>
  <c r="C75" i="57"/>
  <c r="B75" i="57"/>
  <c r="C74" i="57"/>
  <c r="B74" i="57"/>
  <c r="C73" i="57"/>
  <c r="B73" i="57"/>
  <c r="C72" i="57"/>
  <c r="B72" i="57"/>
  <c r="C71" i="57"/>
  <c r="B71" i="57"/>
  <c r="C70" i="57"/>
  <c r="B70" i="57"/>
  <c r="C69" i="57"/>
  <c r="B69" i="57"/>
  <c r="C68" i="57"/>
  <c r="B68" i="57"/>
  <c r="C67" i="57"/>
  <c r="B67" i="57"/>
  <c r="C66" i="57"/>
  <c r="B66" i="57"/>
  <c r="C65" i="57"/>
  <c r="B65" i="57"/>
  <c r="C64" i="57"/>
  <c r="B64" i="57"/>
  <c r="C63" i="57"/>
  <c r="B63" i="57"/>
  <c r="C62" i="57"/>
  <c r="B62" i="57"/>
  <c r="C61" i="57"/>
  <c r="B61" i="57"/>
  <c r="C60" i="57"/>
  <c r="B60" i="57"/>
  <c r="C59" i="57"/>
  <c r="B59" i="57"/>
  <c r="C58" i="57"/>
  <c r="B58" i="57"/>
  <c r="C57" i="57"/>
  <c r="B57" i="57"/>
  <c r="C56" i="57"/>
  <c r="B56" i="57"/>
  <c r="C55" i="57"/>
  <c r="B55" i="57"/>
  <c r="C54" i="57"/>
  <c r="B54" i="57"/>
  <c r="C53" i="57"/>
  <c r="B53" i="57"/>
  <c r="C52" i="57"/>
  <c r="B52" i="57"/>
  <c r="C51" i="57"/>
  <c r="B51" i="57"/>
  <c r="C50" i="57"/>
  <c r="B50" i="57"/>
  <c r="C49" i="57"/>
  <c r="B49" i="57"/>
  <c r="C48" i="57"/>
  <c r="B48" i="57"/>
  <c r="C47" i="57"/>
  <c r="B47" i="57"/>
  <c r="C46" i="57"/>
  <c r="B46" i="57"/>
  <c r="C45" i="57"/>
  <c r="B45" i="57"/>
  <c r="C44" i="57"/>
  <c r="B44" i="57"/>
  <c r="C43" i="57"/>
  <c r="B43" i="57"/>
  <c r="C42" i="57"/>
  <c r="B42" i="57"/>
  <c r="C41" i="57"/>
  <c r="B41" i="57"/>
  <c r="C40" i="57"/>
  <c r="B40" i="57"/>
  <c r="C39" i="57"/>
  <c r="B39" i="57"/>
  <c r="C38" i="57"/>
  <c r="B38" i="57"/>
  <c r="C37" i="57"/>
  <c r="B37" i="57"/>
  <c r="C36" i="57"/>
  <c r="B36" i="57"/>
  <c r="C35" i="57"/>
  <c r="B35" i="57"/>
  <c r="C34" i="57"/>
  <c r="B34" i="57"/>
  <c r="C33" i="57"/>
  <c r="B33" i="57"/>
  <c r="C32" i="57"/>
  <c r="B32" i="57"/>
  <c r="C31" i="57"/>
  <c r="B31" i="57"/>
  <c r="C30" i="57"/>
  <c r="B30" i="57"/>
  <c r="C29" i="57"/>
  <c r="B29" i="57"/>
  <c r="C28" i="57"/>
  <c r="B28" i="57"/>
  <c r="C27" i="57"/>
  <c r="B27" i="57"/>
  <c r="C26" i="57"/>
  <c r="B26" i="57"/>
  <c r="C25" i="57"/>
  <c r="B25" i="57"/>
  <c r="C24" i="57"/>
  <c r="B24" i="57"/>
  <c r="C23" i="57"/>
  <c r="B23" i="57"/>
  <c r="C22" i="57"/>
  <c r="B22" i="57"/>
  <c r="C21" i="57"/>
  <c r="B21" i="57"/>
  <c r="C20" i="57"/>
  <c r="B20" i="57"/>
  <c r="C19" i="57"/>
  <c r="B19" i="57"/>
  <c r="C18" i="57"/>
  <c r="B18" i="57"/>
  <c r="C17" i="57"/>
  <c r="B17" i="57"/>
  <c r="C16" i="57"/>
  <c r="B16" i="57"/>
  <c r="C15" i="57"/>
  <c r="B15" i="57"/>
  <c r="C14" i="57"/>
  <c r="B14" i="57"/>
  <c r="C13" i="57"/>
  <c r="B13" i="57"/>
  <c r="C12" i="57"/>
  <c r="B12" i="57"/>
  <c r="C11" i="57"/>
  <c r="B11" i="57"/>
  <c r="C10" i="57"/>
  <c r="B10" i="57"/>
  <c r="C9" i="57"/>
  <c r="B9" i="57"/>
  <c r="C8" i="57"/>
  <c r="B8" i="57"/>
  <c r="C7" i="57"/>
  <c r="B7" i="57"/>
  <c r="C6" i="57"/>
  <c r="B6" i="57"/>
  <c r="C5" i="57"/>
  <c r="B5" i="57"/>
  <c r="C4" i="57"/>
  <c r="B4" i="57"/>
  <c r="C3" i="57"/>
  <c r="B3" i="57"/>
  <c r="M135" i="44"/>
  <c r="M147" i="44" s="1"/>
  <c r="M136" i="44"/>
  <c r="M148" i="44" s="1"/>
  <c r="M137" i="44"/>
  <c r="M149" i="44" s="1"/>
  <c r="M138" i="44"/>
  <c r="M150" i="44" s="1"/>
  <c r="M139" i="44"/>
  <c r="M151" i="44" s="1"/>
  <c r="M140" i="44"/>
  <c r="M152" i="44" s="1"/>
  <c r="M141" i="44"/>
  <c r="M153" i="44" s="1"/>
  <c r="M142" i="44"/>
  <c r="M154" i="44" s="1"/>
  <c r="M143" i="44"/>
  <c r="M155" i="44" s="1"/>
  <c r="M144" i="44"/>
  <c r="M156" i="44" s="1"/>
  <c r="M145" i="44"/>
  <c r="M157" i="44" s="1"/>
  <c r="M146" i="44"/>
  <c r="M158" i="44" s="1"/>
  <c r="D166" i="57" l="1"/>
  <c r="D167" i="57"/>
  <c r="A168" i="57"/>
  <c r="D168" i="57" l="1"/>
  <c r="A169" i="57"/>
  <c r="A170" i="57" l="1"/>
  <c r="D169" i="57"/>
  <c r="A171" i="57" l="1"/>
  <c r="D170" i="57"/>
  <c r="D171" i="57" l="1"/>
  <c r="A172" i="57"/>
  <c r="A173" i="57" l="1"/>
  <c r="D172" i="57"/>
  <c r="A174" i="57" l="1"/>
  <c r="D173" i="57"/>
  <c r="D174" i="57" l="1"/>
  <c r="A175" i="57"/>
  <c r="D175" i="57" l="1"/>
  <c r="A176" i="57"/>
  <c r="A177" i="57" l="1"/>
  <c r="D176" i="57"/>
  <c r="A178" i="57" l="1"/>
  <c r="K135" i="20" l="1"/>
  <c r="K147" i="20" s="1"/>
  <c r="K136" i="20"/>
  <c r="K148" i="20" s="1"/>
  <c r="K137" i="20"/>
  <c r="K149" i="20" s="1"/>
  <c r="K138" i="20"/>
  <c r="K150" i="20" s="1"/>
  <c r="K139" i="20"/>
  <c r="K151" i="20" s="1"/>
  <c r="K140" i="20"/>
  <c r="K152" i="20" s="1"/>
  <c r="K141" i="20"/>
  <c r="K153" i="20" s="1"/>
  <c r="K142" i="20"/>
  <c r="K154" i="20" s="1"/>
  <c r="K143" i="20"/>
  <c r="K155" i="20" s="1"/>
  <c r="K144" i="20"/>
  <c r="K156" i="20" s="1"/>
  <c r="K145" i="20"/>
  <c r="K157" i="20" s="1"/>
  <c r="K146" i="20"/>
  <c r="K158" i="20" s="1"/>
  <c r="T178" i="57" l="1"/>
  <c r="T177" i="57"/>
  <c r="B128" i="44"/>
  <c r="C128" i="44"/>
  <c r="B129" i="44"/>
  <c r="C129" i="44"/>
  <c r="B130" i="44"/>
  <c r="C130" i="44"/>
  <c r="B131" i="44"/>
  <c r="C131" i="44"/>
  <c r="B132" i="44"/>
  <c r="C132" i="44"/>
  <c r="B133" i="44"/>
  <c r="C133" i="44"/>
  <c r="B134" i="44"/>
  <c r="C134" i="44"/>
  <c r="B128" i="20"/>
  <c r="C128" i="20"/>
  <c r="B129" i="20"/>
  <c r="C129" i="20"/>
  <c r="B130" i="20"/>
  <c r="C130" i="20"/>
  <c r="B131" i="20"/>
  <c r="C131" i="20"/>
  <c r="B132" i="20"/>
  <c r="C132" i="20"/>
  <c r="B133" i="20"/>
  <c r="C133" i="20"/>
  <c r="B134" i="20"/>
  <c r="C134" i="20"/>
  <c r="U136" i="44" l="1"/>
  <c r="U137" i="44" s="1"/>
  <c r="U138" i="44" s="1"/>
  <c r="U139" i="44" s="1"/>
  <c r="U140" i="44" s="1"/>
  <c r="U141" i="44" s="1"/>
  <c r="U142" i="44" s="1"/>
  <c r="U143" i="44" s="1"/>
  <c r="U144" i="44" s="1"/>
  <c r="U145" i="44" s="1"/>
  <c r="U146" i="44" s="1"/>
  <c r="U148" i="44"/>
  <c r="U149" i="44" s="1"/>
  <c r="U150" i="44" s="1"/>
  <c r="U151" i="44" s="1"/>
  <c r="U152" i="44" s="1"/>
  <c r="U153" i="44" s="1"/>
  <c r="U154" i="44" s="1"/>
  <c r="U155" i="44" s="1"/>
  <c r="U156" i="44" s="1"/>
  <c r="U157" i="44" s="1"/>
  <c r="U158" i="44" s="1"/>
  <c r="S136" i="20" l="1"/>
  <c r="S137" i="20" l="1"/>
  <c r="U136" i="57"/>
  <c r="S138" i="20" l="1"/>
  <c r="U137" i="57"/>
  <c r="S139" i="20" l="1"/>
  <c r="U138" i="57"/>
  <c r="S140" i="20" l="1"/>
  <c r="U139" i="57"/>
  <c r="S141" i="20" l="1"/>
  <c r="U140" i="57"/>
  <c r="S142" i="20" l="1"/>
  <c r="U141" i="57"/>
  <c r="S143" i="20" l="1"/>
  <c r="U142" i="57"/>
  <c r="S144" i="20" l="1"/>
  <c r="U143" i="57"/>
  <c r="S145" i="20" l="1"/>
  <c r="U144" i="57"/>
  <c r="S146" i="20" l="1"/>
  <c r="U145" i="57"/>
  <c r="S148" i="20" l="1"/>
  <c r="U146" i="57"/>
  <c r="S149" i="20" l="1"/>
  <c r="U148" i="57"/>
  <c r="S150" i="20" l="1"/>
  <c r="U149" i="57"/>
  <c r="S17" i="11"/>
  <c r="T22" i="11"/>
  <c r="T23" i="11"/>
  <c r="T18" i="11"/>
  <c r="S151" i="20" l="1"/>
  <c r="U150" i="57"/>
  <c r="S152" i="20" l="1"/>
  <c r="U151" i="57"/>
  <c r="A167" i="44"/>
  <c r="C158" i="44"/>
  <c r="B158" i="44"/>
  <c r="C157" i="44"/>
  <c r="B157" i="44"/>
  <c r="C156" i="44"/>
  <c r="B156" i="44"/>
  <c r="C155" i="44"/>
  <c r="B155" i="44"/>
  <c r="C154" i="44"/>
  <c r="B154" i="44"/>
  <c r="C153" i="44"/>
  <c r="B153" i="44"/>
  <c r="C152" i="44"/>
  <c r="B152" i="44"/>
  <c r="C151" i="44"/>
  <c r="B151" i="44"/>
  <c r="C150" i="44"/>
  <c r="B150" i="44"/>
  <c r="C149" i="44"/>
  <c r="B149" i="44"/>
  <c r="C148" i="44"/>
  <c r="B148" i="44"/>
  <c r="C147" i="44"/>
  <c r="B147" i="44"/>
  <c r="C146" i="44"/>
  <c r="B146" i="44"/>
  <c r="C145" i="44"/>
  <c r="B145" i="44"/>
  <c r="C144" i="44"/>
  <c r="B144" i="44"/>
  <c r="C143" i="44"/>
  <c r="B143" i="44"/>
  <c r="C142" i="44"/>
  <c r="B142" i="44"/>
  <c r="C141" i="44"/>
  <c r="B141" i="44"/>
  <c r="C140" i="44"/>
  <c r="B140" i="44"/>
  <c r="C139" i="44"/>
  <c r="B139" i="44"/>
  <c r="C138" i="44"/>
  <c r="B138" i="44"/>
  <c r="C137" i="44"/>
  <c r="B137" i="44"/>
  <c r="C136" i="44"/>
  <c r="B136" i="44"/>
  <c r="C135" i="44"/>
  <c r="B135" i="44"/>
  <c r="C127" i="44"/>
  <c r="B127" i="44"/>
  <c r="C126" i="44"/>
  <c r="B126" i="44"/>
  <c r="C125" i="44"/>
  <c r="B125" i="44"/>
  <c r="C124" i="44"/>
  <c r="B124" i="44"/>
  <c r="C123" i="44"/>
  <c r="B123" i="44"/>
  <c r="C122" i="44"/>
  <c r="B122" i="44"/>
  <c r="C121" i="44"/>
  <c r="B121" i="44"/>
  <c r="C120" i="44"/>
  <c r="B120" i="44"/>
  <c r="C119" i="44"/>
  <c r="B119" i="44"/>
  <c r="C118" i="44"/>
  <c r="B118" i="44"/>
  <c r="C117" i="44"/>
  <c r="B117" i="44"/>
  <c r="C116" i="44"/>
  <c r="B116" i="44"/>
  <c r="C115" i="44"/>
  <c r="B115" i="44"/>
  <c r="C114" i="44"/>
  <c r="B114" i="44"/>
  <c r="C113" i="44"/>
  <c r="B113" i="44"/>
  <c r="C112" i="44"/>
  <c r="B112" i="44"/>
  <c r="C111" i="44"/>
  <c r="B111" i="44"/>
  <c r="C110" i="44"/>
  <c r="B110" i="44"/>
  <c r="C109" i="44"/>
  <c r="B109" i="44"/>
  <c r="C108" i="44"/>
  <c r="B108" i="44"/>
  <c r="C107" i="44"/>
  <c r="B107" i="44"/>
  <c r="C106" i="44"/>
  <c r="B106" i="44"/>
  <c r="C105" i="44"/>
  <c r="B105" i="44"/>
  <c r="C104" i="44"/>
  <c r="B104" i="44"/>
  <c r="C103" i="44"/>
  <c r="B103" i="44"/>
  <c r="C102" i="44"/>
  <c r="B102" i="44"/>
  <c r="C101" i="44"/>
  <c r="B101" i="44"/>
  <c r="C100" i="44"/>
  <c r="B100" i="44"/>
  <c r="C99" i="44"/>
  <c r="B99" i="44"/>
  <c r="C98" i="44"/>
  <c r="B98" i="44"/>
  <c r="C97" i="44"/>
  <c r="B97" i="44"/>
  <c r="C96" i="44"/>
  <c r="B96" i="44"/>
  <c r="C95" i="44"/>
  <c r="B95" i="44"/>
  <c r="C94" i="44"/>
  <c r="B94" i="44"/>
  <c r="C93" i="44"/>
  <c r="B93" i="44"/>
  <c r="C92" i="44"/>
  <c r="B92" i="44"/>
  <c r="C91" i="44"/>
  <c r="B91" i="44"/>
  <c r="C90" i="44"/>
  <c r="B90" i="44"/>
  <c r="C89" i="44"/>
  <c r="B89" i="44"/>
  <c r="C88" i="44"/>
  <c r="B88" i="44"/>
  <c r="C87" i="44"/>
  <c r="B87" i="44"/>
  <c r="C86" i="44"/>
  <c r="B86" i="44"/>
  <c r="C85" i="44"/>
  <c r="B85" i="44"/>
  <c r="C84" i="44"/>
  <c r="B84" i="44"/>
  <c r="C83" i="44"/>
  <c r="B83" i="44"/>
  <c r="C82" i="44"/>
  <c r="B82" i="44"/>
  <c r="C81" i="44"/>
  <c r="B81" i="44"/>
  <c r="C80" i="44"/>
  <c r="B80" i="44"/>
  <c r="C79" i="44"/>
  <c r="B79" i="44"/>
  <c r="C78" i="44"/>
  <c r="B78" i="44"/>
  <c r="C77" i="44"/>
  <c r="B77" i="44"/>
  <c r="C76" i="44"/>
  <c r="B76" i="44"/>
  <c r="C75" i="44"/>
  <c r="B75" i="44"/>
  <c r="C74" i="44"/>
  <c r="B74" i="44"/>
  <c r="C73" i="44"/>
  <c r="B73" i="44"/>
  <c r="C72" i="44"/>
  <c r="B72" i="44"/>
  <c r="C71" i="44"/>
  <c r="B71" i="44"/>
  <c r="C70" i="44"/>
  <c r="B70" i="44"/>
  <c r="C69" i="44"/>
  <c r="B69" i="44"/>
  <c r="C68" i="44"/>
  <c r="B68" i="44"/>
  <c r="C67" i="44"/>
  <c r="B67" i="44"/>
  <c r="C66" i="44"/>
  <c r="B66" i="44"/>
  <c r="C65" i="44"/>
  <c r="B65" i="44"/>
  <c r="C64" i="44"/>
  <c r="B64" i="44"/>
  <c r="C63" i="44"/>
  <c r="B63" i="44"/>
  <c r="C62" i="44"/>
  <c r="B62" i="44"/>
  <c r="C61" i="44"/>
  <c r="B61" i="44"/>
  <c r="C60" i="44"/>
  <c r="B60" i="44"/>
  <c r="C59" i="44"/>
  <c r="B59" i="44"/>
  <c r="C58" i="44"/>
  <c r="B58" i="44"/>
  <c r="C57" i="44"/>
  <c r="B57" i="44"/>
  <c r="C56" i="44"/>
  <c r="B56" i="44"/>
  <c r="C55" i="44"/>
  <c r="B55" i="44"/>
  <c r="C54" i="44"/>
  <c r="B54" i="44"/>
  <c r="C53" i="44"/>
  <c r="B53" i="44"/>
  <c r="C52" i="44"/>
  <c r="B52" i="44"/>
  <c r="C51" i="44"/>
  <c r="B51" i="44"/>
  <c r="C50" i="44"/>
  <c r="B50" i="44"/>
  <c r="C49" i="44"/>
  <c r="B49" i="44"/>
  <c r="C48" i="44"/>
  <c r="B48" i="44"/>
  <c r="C47" i="44"/>
  <c r="B47" i="44"/>
  <c r="C46" i="44"/>
  <c r="B46" i="44"/>
  <c r="C45" i="44"/>
  <c r="B45" i="44"/>
  <c r="C44" i="44"/>
  <c r="B44" i="44"/>
  <c r="C43" i="44"/>
  <c r="B43" i="44"/>
  <c r="C42" i="44"/>
  <c r="B42" i="44"/>
  <c r="C41" i="44"/>
  <c r="B41" i="44"/>
  <c r="C40" i="44"/>
  <c r="B40" i="44"/>
  <c r="C39" i="44"/>
  <c r="B39" i="44"/>
  <c r="C38" i="44"/>
  <c r="B38" i="44"/>
  <c r="C37" i="44"/>
  <c r="B37" i="44"/>
  <c r="C36" i="44"/>
  <c r="B36" i="44"/>
  <c r="C35" i="44"/>
  <c r="B35" i="44"/>
  <c r="C34" i="44"/>
  <c r="B34" i="44"/>
  <c r="C33" i="44"/>
  <c r="B33" i="44"/>
  <c r="C32" i="44"/>
  <c r="B32" i="44"/>
  <c r="C31" i="44"/>
  <c r="B31" i="44"/>
  <c r="C30" i="44"/>
  <c r="B30" i="44"/>
  <c r="C29" i="44"/>
  <c r="B29" i="44"/>
  <c r="C28" i="44"/>
  <c r="B28" i="44"/>
  <c r="C27" i="44"/>
  <c r="B27" i="44"/>
  <c r="C26" i="44"/>
  <c r="B26" i="44"/>
  <c r="C25" i="44"/>
  <c r="B25" i="44"/>
  <c r="C24" i="44"/>
  <c r="B24" i="44"/>
  <c r="C23" i="44"/>
  <c r="B23" i="44"/>
  <c r="C22" i="44"/>
  <c r="B22" i="44"/>
  <c r="C21" i="44"/>
  <c r="B21" i="44"/>
  <c r="C20" i="44"/>
  <c r="B20" i="44"/>
  <c r="C19" i="44"/>
  <c r="B19" i="44"/>
  <c r="C18" i="44"/>
  <c r="B18" i="44"/>
  <c r="C17" i="44"/>
  <c r="B17" i="44"/>
  <c r="C16" i="44"/>
  <c r="B16" i="44"/>
  <c r="C15" i="44"/>
  <c r="B15" i="44"/>
  <c r="C14" i="44"/>
  <c r="B14" i="44"/>
  <c r="C13" i="44"/>
  <c r="B13" i="44"/>
  <c r="C12" i="44"/>
  <c r="B12" i="44"/>
  <c r="C11" i="44"/>
  <c r="B11" i="44"/>
  <c r="C10" i="44"/>
  <c r="B10" i="44"/>
  <c r="C9" i="44"/>
  <c r="B9" i="44"/>
  <c r="C8" i="44"/>
  <c r="B8" i="44"/>
  <c r="C7" i="44"/>
  <c r="B7" i="44"/>
  <c r="C6" i="44"/>
  <c r="B6" i="44"/>
  <c r="C5" i="44"/>
  <c r="B5" i="44"/>
  <c r="C4" i="44"/>
  <c r="B4" i="44"/>
  <c r="C3" i="44"/>
  <c r="B3" i="44"/>
  <c r="D25" i="11"/>
  <c r="E25" i="11"/>
  <c r="F25" i="11"/>
  <c r="D30" i="11"/>
  <c r="E30" i="11"/>
  <c r="F30" i="11"/>
  <c r="D35" i="11"/>
  <c r="E35" i="11"/>
  <c r="F35" i="11"/>
  <c r="D40" i="11"/>
  <c r="E40" i="11"/>
  <c r="F40" i="11"/>
  <c r="D45" i="11"/>
  <c r="E45" i="11"/>
  <c r="F45" i="11"/>
  <c r="G45" i="11"/>
  <c r="C45" i="11"/>
  <c r="C40" i="11"/>
  <c r="C35" i="11"/>
  <c r="C30" i="11"/>
  <c r="C25" i="11"/>
  <c r="S153" i="20" l="1"/>
  <c r="U152" i="57"/>
  <c r="A168" i="44"/>
  <c r="S154" i="20" l="1"/>
  <c r="U153" i="57"/>
  <c r="A169" i="44"/>
  <c r="S155" i="20" l="1"/>
  <c r="U154" i="57"/>
  <c r="A170" i="44"/>
  <c r="S156" i="20" l="1"/>
  <c r="U155" i="57"/>
  <c r="D170" i="44"/>
  <c r="A171" i="44"/>
  <c r="S157" i="20" l="1"/>
  <c r="U156" i="57"/>
  <c r="D171" i="44"/>
  <c r="A172" i="44"/>
  <c r="S158" i="20" l="1"/>
  <c r="U158" i="57" s="1"/>
  <c r="U157" i="57"/>
  <c r="A173" i="44"/>
  <c r="D172" i="44"/>
  <c r="A174" i="44" l="1"/>
  <c r="D173" i="44"/>
  <c r="D174" i="44" l="1"/>
  <c r="A175" i="44"/>
  <c r="D175" i="44" l="1"/>
  <c r="A176" i="44"/>
  <c r="A177" i="44" l="1"/>
  <c r="D176" i="44"/>
  <c r="A178" i="44" l="1"/>
  <c r="A7" i="9" l="1"/>
  <c r="A167" i="20"/>
  <c r="E148" i="57" l="1"/>
  <c r="E149" i="57" s="1"/>
  <c r="E150" i="57" s="1"/>
  <c r="E151" i="57" s="1"/>
  <c r="E152" i="57" s="1"/>
  <c r="E153" i="57" s="1"/>
  <c r="E154" i="57" s="1"/>
  <c r="E155" i="57" s="1"/>
  <c r="E156" i="57" s="1"/>
  <c r="E157" i="57" s="1"/>
  <c r="E158" i="57" s="1"/>
  <c r="E148" i="44"/>
  <c r="E149" i="44" s="1"/>
  <c r="E150" i="44" s="1"/>
  <c r="E151" i="44" s="1"/>
  <c r="E152" i="44" s="1"/>
  <c r="E153" i="44" s="1"/>
  <c r="E154" i="44" s="1"/>
  <c r="E155" i="44" s="1"/>
  <c r="E156" i="44" s="1"/>
  <c r="E157" i="44" s="1"/>
  <c r="E158" i="44" s="1"/>
  <c r="E148" i="20"/>
  <c r="E149" i="20" s="1"/>
  <c r="E150" i="20" s="1"/>
  <c r="E151" i="20" s="1"/>
  <c r="E152" i="20" s="1"/>
  <c r="E153" i="20" s="1"/>
  <c r="E154" i="20" s="1"/>
  <c r="E155" i="20" s="1"/>
  <c r="E156" i="20" s="1"/>
  <c r="E157" i="20" s="1"/>
  <c r="E158" i="20" s="1"/>
  <c r="E136" i="57"/>
  <c r="E137" i="57" s="1"/>
  <c r="E138" i="57" s="1"/>
  <c r="E139" i="57" s="1"/>
  <c r="E140" i="57" s="1"/>
  <c r="E141" i="57" s="1"/>
  <c r="E142" i="57" s="1"/>
  <c r="E143" i="57" s="1"/>
  <c r="E144" i="57" s="1"/>
  <c r="E145" i="57" s="1"/>
  <c r="E146" i="57" s="1"/>
  <c r="E136" i="20"/>
  <c r="E137" i="20" s="1"/>
  <c r="E138" i="20" s="1"/>
  <c r="E139" i="20" s="1"/>
  <c r="E140" i="20" s="1"/>
  <c r="E141" i="20" s="1"/>
  <c r="E142" i="20" s="1"/>
  <c r="E143" i="20" s="1"/>
  <c r="E144" i="20" s="1"/>
  <c r="E145" i="20" s="1"/>
  <c r="E146" i="20" s="1"/>
  <c r="E136" i="44"/>
  <c r="E137" i="44" s="1"/>
  <c r="E138" i="44" s="1"/>
  <c r="E139" i="44" s="1"/>
  <c r="E140" i="44" s="1"/>
  <c r="E141" i="44" s="1"/>
  <c r="E142" i="44" s="1"/>
  <c r="E143" i="44" s="1"/>
  <c r="E144" i="44" s="1"/>
  <c r="E145" i="44" s="1"/>
  <c r="E146" i="44" s="1"/>
  <c r="A8" i="9"/>
  <c r="A168" i="20"/>
  <c r="A9" i="9" l="1"/>
  <c r="A169" i="20"/>
  <c r="A10" i="9" l="1"/>
  <c r="A170" i="20"/>
  <c r="A11" i="9" l="1"/>
  <c r="A171" i="20"/>
  <c r="G40" i="11" l="1"/>
  <c r="A12" i="9"/>
  <c r="A172" i="20"/>
  <c r="H40" i="11" l="1"/>
  <c r="A13" i="9"/>
  <c r="A173" i="20"/>
  <c r="I40" i="11" l="1"/>
  <c r="A14" i="9"/>
  <c r="A174" i="20"/>
  <c r="J40" i="11" l="1"/>
  <c r="A15" i="9"/>
  <c r="A175" i="20"/>
  <c r="K40" i="11" l="1"/>
  <c r="A16" i="9"/>
  <c r="A176" i="20"/>
  <c r="L40" i="11" l="1"/>
  <c r="A177" i="20"/>
  <c r="A17" i="9"/>
  <c r="A18" i="9" l="1"/>
  <c r="M40" i="11"/>
  <c r="A178" i="20"/>
  <c r="E174" i="57" l="1"/>
  <c r="E170" i="57"/>
  <c r="E171" i="57"/>
  <c r="E173" i="57"/>
  <c r="E175" i="57"/>
  <c r="E166" i="57"/>
  <c r="E172" i="57"/>
  <c r="E176" i="57"/>
  <c r="G16" i="11"/>
  <c r="G25" i="11"/>
  <c r="C12" i="11"/>
  <c r="G20" i="11"/>
  <c r="G35" i="11"/>
  <c r="F12" i="11"/>
  <c r="E12" i="11"/>
  <c r="G12" i="11"/>
  <c r="D12" i="11"/>
  <c r="G30" i="11"/>
  <c r="D169" i="44"/>
  <c r="L30" i="11"/>
  <c r="K20" i="11"/>
  <c r="I30" i="11"/>
  <c r="H30" i="11"/>
  <c r="C16" i="11"/>
  <c r="M25" i="11"/>
  <c r="D166" i="44"/>
  <c r="L25" i="11"/>
  <c r="L16" i="11"/>
  <c r="K12" i="11"/>
  <c r="K16" i="11"/>
  <c r="J45" i="11"/>
  <c r="J30" i="11"/>
  <c r="I35" i="11"/>
  <c r="H20" i="11"/>
  <c r="H12" i="11"/>
  <c r="E16" i="11"/>
  <c r="D20" i="11"/>
  <c r="M30" i="11"/>
  <c r="M45" i="11"/>
  <c r="J12" i="11"/>
  <c r="I45" i="11"/>
  <c r="F16" i="11"/>
  <c r="D167" i="44"/>
  <c r="L12" i="11"/>
  <c r="L35" i="11"/>
  <c r="K25" i="11"/>
  <c r="K35" i="11"/>
  <c r="J25" i="11"/>
  <c r="I25" i="11"/>
  <c r="I16" i="11"/>
  <c r="H25" i="11"/>
  <c r="H16" i="11"/>
  <c r="D16" i="11"/>
  <c r="M35" i="11"/>
  <c r="K45" i="11"/>
  <c r="J20" i="11"/>
  <c r="L20" i="11"/>
  <c r="L45" i="11"/>
  <c r="K30" i="11"/>
  <c r="J16" i="11"/>
  <c r="J35" i="11"/>
  <c r="I20" i="11"/>
  <c r="I12" i="11"/>
  <c r="H45" i="11"/>
  <c r="H35" i="11"/>
  <c r="F20" i="11"/>
  <c r="E20" i="11"/>
  <c r="C20" i="11"/>
  <c r="D168" i="44"/>
  <c r="F168" i="57" l="1"/>
  <c r="E169" i="57"/>
  <c r="E167" i="57"/>
  <c r="E168" i="57"/>
  <c r="F169" i="57"/>
  <c r="F167" i="57"/>
  <c r="F176" i="57"/>
  <c r="F171" i="57"/>
  <c r="F175" i="57"/>
  <c r="F173" i="57"/>
  <c r="F170" i="57"/>
  <c r="F166" i="57"/>
  <c r="E176" i="44"/>
  <c r="E172" i="44"/>
  <c r="F172" i="44"/>
  <c r="E175" i="44"/>
  <c r="E171" i="44"/>
  <c r="E166" i="44"/>
  <c r="E169" i="44"/>
  <c r="E167" i="44"/>
  <c r="E174" i="44"/>
  <c r="E170" i="44"/>
  <c r="E173" i="44"/>
  <c r="F176" i="44"/>
  <c r="E168" i="44"/>
  <c r="F174" i="44"/>
  <c r="F173" i="44"/>
  <c r="F175" i="44"/>
  <c r="F171" i="44"/>
  <c r="F172" i="57" l="1"/>
  <c r="F170" i="44"/>
  <c r="F174" i="57"/>
  <c r="F169" i="44"/>
  <c r="F166" i="44"/>
  <c r="F168" i="44"/>
  <c r="F167" i="44"/>
  <c r="C158" i="20" l="1"/>
  <c r="B158" i="20"/>
  <c r="C157" i="20"/>
  <c r="B157" i="20"/>
  <c r="C156" i="20"/>
  <c r="B156" i="20"/>
  <c r="C155" i="20"/>
  <c r="B155" i="20"/>
  <c r="C154" i="20"/>
  <c r="B154" i="20"/>
  <c r="C153" i="20"/>
  <c r="B153" i="20"/>
  <c r="C152" i="20"/>
  <c r="B152" i="20"/>
  <c r="C151" i="20"/>
  <c r="B151" i="20"/>
  <c r="C150" i="20"/>
  <c r="B150" i="20"/>
  <c r="C149" i="20"/>
  <c r="B149" i="20"/>
  <c r="C148" i="20"/>
  <c r="B148" i="20"/>
  <c r="C147" i="20"/>
  <c r="B147" i="20"/>
  <c r="C146" i="20"/>
  <c r="B146" i="20"/>
  <c r="C145" i="20"/>
  <c r="B145" i="20"/>
  <c r="C144" i="20"/>
  <c r="B144" i="20"/>
  <c r="C143" i="20"/>
  <c r="B143" i="20"/>
  <c r="C142" i="20"/>
  <c r="B142" i="20"/>
  <c r="C141" i="20"/>
  <c r="B141" i="20"/>
  <c r="C140" i="20"/>
  <c r="B140" i="20"/>
  <c r="C139" i="20"/>
  <c r="B139" i="20"/>
  <c r="C138" i="20"/>
  <c r="B138" i="20"/>
  <c r="C137" i="20"/>
  <c r="B137" i="20"/>
  <c r="C136" i="20"/>
  <c r="B136" i="20"/>
  <c r="C135" i="20"/>
  <c r="B135" i="20"/>
  <c r="B4" i="20"/>
  <c r="C4" i="20"/>
  <c r="B5" i="20"/>
  <c r="C5" i="20"/>
  <c r="B6" i="20"/>
  <c r="C6" i="20"/>
  <c r="B7" i="20"/>
  <c r="C7" i="20"/>
  <c r="B8" i="20"/>
  <c r="C8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C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B47" i="20"/>
  <c r="C47" i="20"/>
  <c r="B48" i="20"/>
  <c r="C48" i="20"/>
  <c r="B49" i="20"/>
  <c r="C49" i="20"/>
  <c r="B50" i="20"/>
  <c r="C50" i="20"/>
  <c r="B51" i="20"/>
  <c r="C51" i="20"/>
  <c r="B52" i="20"/>
  <c r="C52" i="20"/>
  <c r="B53" i="20"/>
  <c r="C53" i="20"/>
  <c r="B54" i="20"/>
  <c r="C54" i="20"/>
  <c r="B55" i="20"/>
  <c r="C55" i="20"/>
  <c r="B56" i="20"/>
  <c r="C56" i="20"/>
  <c r="B57" i="20"/>
  <c r="C57" i="20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B69" i="20"/>
  <c r="C69" i="20"/>
  <c r="B70" i="20"/>
  <c r="C70" i="20"/>
  <c r="B71" i="20"/>
  <c r="C71" i="20"/>
  <c r="B72" i="20"/>
  <c r="C72" i="20"/>
  <c r="B73" i="20"/>
  <c r="C73" i="20"/>
  <c r="B74" i="20"/>
  <c r="C74" i="20"/>
  <c r="B75" i="20"/>
  <c r="C75" i="20"/>
  <c r="B76" i="20"/>
  <c r="C76" i="20"/>
  <c r="B77" i="20"/>
  <c r="C77" i="20"/>
  <c r="B78" i="20"/>
  <c r="C78" i="20"/>
  <c r="B79" i="20"/>
  <c r="C79" i="20"/>
  <c r="B80" i="20"/>
  <c r="C80" i="20"/>
  <c r="B81" i="20"/>
  <c r="C81" i="20"/>
  <c r="B82" i="20"/>
  <c r="C82" i="20"/>
  <c r="B83" i="20"/>
  <c r="C83" i="20"/>
  <c r="B84" i="20"/>
  <c r="C84" i="20"/>
  <c r="B85" i="20"/>
  <c r="C85" i="20"/>
  <c r="B86" i="20"/>
  <c r="C86" i="20"/>
  <c r="B87" i="20"/>
  <c r="C87" i="20"/>
  <c r="B88" i="20"/>
  <c r="C88" i="20"/>
  <c r="B89" i="20"/>
  <c r="C89" i="20"/>
  <c r="B90" i="20"/>
  <c r="C90" i="20"/>
  <c r="B91" i="20"/>
  <c r="C91" i="20"/>
  <c r="B92" i="20"/>
  <c r="C92" i="20"/>
  <c r="B93" i="20"/>
  <c r="C93" i="20"/>
  <c r="B94" i="20"/>
  <c r="C94" i="20"/>
  <c r="B95" i="20"/>
  <c r="C95" i="20"/>
  <c r="B96" i="20"/>
  <c r="C96" i="20"/>
  <c r="B97" i="20"/>
  <c r="C97" i="20"/>
  <c r="B98" i="20"/>
  <c r="C98" i="20"/>
  <c r="B99" i="20"/>
  <c r="C99" i="20"/>
  <c r="B100" i="20"/>
  <c r="C100" i="20"/>
  <c r="B101" i="20"/>
  <c r="C101" i="20"/>
  <c r="B102" i="20"/>
  <c r="C102" i="20"/>
  <c r="B103" i="20"/>
  <c r="C103" i="20"/>
  <c r="B104" i="20"/>
  <c r="C104" i="20"/>
  <c r="B105" i="20"/>
  <c r="C105" i="20"/>
  <c r="B106" i="20"/>
  <c r="C106" i="20"/>
  <c r="B107" i="20"/>
  <c r="C107" i="20"/>
  <c r="B108" i="20"/>
  <c r="C108" i="20"/>
  <c r="B109" i="20"/>
  <c r="C109" i="20"/>
  <c r="B110" i="20"/>
  <c r="C110" i="20"/>
  <c r="B111" i="20"/>
  <c r="C111" i="20"/>
  <c r="B112" i="20"/>
  <c r="C112" i="20"/>
  <c r="B113" i="20"/>
  <c r="C113" i="20"/>
  <c r="B114" i="20"/>
  <c r="C114" i="20"/>
  <c r="B115" i="20"/>
  <c r="C115" i="20"/>
  <c r="B116" i="20"/>
  <c r="C116" i="20"/>
  <c r="B117" i="20"/>
  <c r="C117" i="20"/>
  <c r="B118" i="20"/>
  <c r="C118" i="20"/>
  <c r="B119" i="20"/>
  <c r="C119" i="20"/>
  <c r="B120" i="20"/>
  <c r="C120" i="20"/>
  <c r="B121" i="20"/>
  <c r="C121" i="20"/>
  <c r="B122" i="20"/>
  <c r="C122" i="20"/>
  <c r="B123" i="20"/>
  <c r="C123" i="20"/>
  <c r="B124" i="20"/>
  <c r="C124" i="20"/>
  <c r="B125" i="20"/>
  <c r="C125" i="20"/>
  <c r="B126" i="20"/>
  <c r="C126" i="20"/>
  <c r="B127" i="20"/>
  <c r="C127" i="20"/>
  <c r="C3" i="20"/>
  <c r="B3" i="20"/>
  <c r="D166" i="20" l="1"/>
  <c r="F166" i="20"/>
  <c r="F167" i="20"/>
  <c r="F168" i="20"/>
  <c r="F169" i="20"/>
  <c r="F170" i="20"/>
  <c r="F171" i="20"/>
  <c r="F172" i="20"/>
  <c r="F173" i="20"/>
  <c r="F174" i="20"/>
  <c r="F175" i="20"/>
  <c r="F176" i="20"/>
  <c r="D176" i="20"/>
  <c r="E166" i="20"/>
  <c r="D167" i="20"/>
  <c r="E167" i="20"/>
  <c r="E168" i="20"/>
  <c r="D168" i="20"/>
  <c r="D169" i="20"/>
  <c r="E169" i="20"/>
  <c r="E170" i="20"/>
  <c r="D170" i="20"/>
  <c r="D171" i="20"/>
  <c r="E171" i="20"/>
  <c r="E172" i="20"/>
  <c r="D172" i="20"/>
  <c r="D173" i="20"/>
  <c r="E173" i="20"/>
  <c r="E174" i="20"/>
  <c r="D174" i="20"/>
  <c r="D175" i="20"/>
  <c r="E175" i="20"/>
  <c r="E176" i="20"/>
  <c r="O7" i="20" l="1"/>
  <c r="O9" i="20"/>
  <c r="O11" i="20"/>
  <c r="O13" i="20"/>
  <c r="O14" i="20" l="1"/>
  <c r="O12" i="20"/>
  <c r="O10" i="20"/>
  <c r="O5" i="20"/>
  <c r="O3" i="20"/>
  <c r="O8" i="20"/>
  <c r="O6" i="20"/>
  <c r="O4" i="20"/>
  <c r="O24" i="20"/>
  <c r="O16" i="20"/>
  <c r="O21" i="20"/>
  <c r="O20" i="20"/>
  <c r="O19" i="20"/>
  <c r="O26" i="20"/>
  <c r="O23" i="20"/>
  <c r="O15" i="20"/>
  <c r="O22" i="20"/>
  <c r="O18" i="20"/>
  <c r="L50" i="11"/>
  <c r="L49" i="11"/>
  <c r="K4" i="11"/>
  <c r="J4" i="11"/>
  <c r="I4" i="11"/>
  <c r="H4" i="11"/>
  <c r="H3" i="11"/>
  <c r="G4" i="11"/>
  <c r="G3" i="11"/>
  <c r="F4" i="11"/>
  <c r="F3" i="11"/>
  <c r="E4" i="11"/>
  <c r="E3" i="11"/>
  <c r="D4" i="11"/>
  <c r="D3" i="11"/>
  <c r="C4" i="11"/>
  <c r="C3" i="11"/>
  <c r="A33" i="11"/>
  <c r="A28" i="11"/>
  <c r="A14" i="11"/>
  <c r="A10" i="11"/>
  <c r="A27" i="9"/>
  <c r="A28" i="9"/>
  <c r="A29" i="9"/>
  <c r="A30" i="9"/>
  <c r="A31" i="9"/>
  <c r="A32" i="9"/>
  <c r="A33" i="9"/>
  <c r="A34" i="9"/>
  <c r="A35" i="9"/>
  <c r="A36" i="9" s="1"/>
  <c r="A37" i="9" s="1"/>
  <c r="A38" i="9" s="1"/>
  <c r="A39" i="9" s="1"/>
  <c r="A43" i="11"/>
  <c r="A38" i="11"/>
  <c r="A18" i="11"/>
  <c r="I3" i="11"/>
  <c r="J3" i="11"/>
  <c r="K3" i="11"/>
  <c r="N4" i="11"/>
  <c r="L4" i="11"/>
  <c r="O25" i="20" l="1"/>
  <c r="O17" i="20"/>
  <c r="K148" i="44"/>
  <c r="K133" i="44"/>
  <c r="K136" i="44"/>
  <c r="L61" i="11"/>
  <c r="M50" i="11"/>
  <c r="F5" i="11"/>
  <c r="H5" i="11"/>
  <c r="K5" i="11"/>
  <c r="J5" i="11"/>
  <c r="D50" i="11"/>
  <c r="K50" i="11"/>
  <c r="H50" i="11"/>
  <c r="O28" i="20"/>
  <c r="O29" i="20"/>
  <c r="O37" i="20"/>
  <c r="O38" i="20"/>
  <c r="O32" i="20"/>
  <c r="O33" i="20"/>
  <c r="O27" i="20"/>
  <c r="O34" i="20"/>
  <c r="O36" i="20"/>
  <c r="I5" i="11"/>
  <c r="C5" i="11"/>
  <c r="E5" i="11"/>
  <c r="G5" i="11"/>
  <c r="D5" i="11"/>
  <c r="J50" i="11"/>
  <c r="G50" i="11"/>
  <c r="E50" i="11"/>
  <c r="F50" i="11"/>
  <c r="C50" i="11"/>
  <c r="I50" i="11"/>
  <c r="O30" i="20" l="1"/>
  <c r="O35" i="20"/>
  <c r="O31" i="20"/>
  <c r="I132" i="20"/>
  <c r="I148" i="20"/>
  <c r="I133" i="20"/>
  <c r="I136" i="20"/>
  <c r="J135" i="57"/>
  <c r="J123" i="57" s="1"/>
  <c r="J111" i="57" s="1"/>
  <c r="J99" i="57" s="1"/>
  <c r="J87" i="57" s="1"/>
  <c r="J75" i="57" s="1"/>
  <c r="J63" i="57" s="1"/>
  <c r="J51" i="57" s="1"/>
  <c r="J39" i="57" s="1"/>
  <c r="J27" i="57" s="1"/>
  <c r="J15" i="57" s="1"/>
  <c r="J3" i="57" s="1"/>
  <c r="P136" i="57"/>
  <c r="P144" i="57"/>
  <c r="J137" i="57"/>
  <c r="J125" i="57" s="1"/>
  <c r="J113" i="57" s="1"/>
  <c r="J101" i="57" s="1"/>
  <c r="J89" i="57" s="1"/>
  <c r="J77" i="57" s="1"/>
  <c r="J65" i="57" s="1"/>
  <c r="J53" i="57" s="1"/>
  <c r="J41" i="57" s="1"/>
  <c r="J29" i="57" s="1"/>
  <c r="J17" i="57" s="1"/>
  <c r="J5" i="57" s="1"/>
  <c r="N138" i="20"/>
  <c r="N139" i="20"/>
  <c r="N141" i="20"/>
  <c r="N142" i="20"/>
  <c r="N143" i="20"/>
  <c r="N140" i="20"/>
  <c r="N144" i="20"/>
  <c r="N137" i="20"/>
  <c r="N136" i="20"/>
  <c r="K143" i="44"/>
  <c r="K144" i="44"/>
  <c r="K134" i="44"/>
  <c r="K139" i="44"/>
  <c r="K127" i="44"/>
  <c r="K126" i="44"/>
  <c r="K137" i="44"/>
  <c r="K141" i="44"/>
  <c r="K145" i="44"/>
  <c r="P138" i="44"/>
  <c r="P136" i="44"/>
  <c r="P142" i="44"/>
  <c r="P137" i="44"/>
  <c r="P140" i="44"/>
  <c r="P139" i="44"/>
  <c r="P135" i="44"/>
  <c r="P141" i="44"/>
  <c r="G61" i="11"/>
  <c r="K61" i="11"/>
  <c r="J61" i="11"/>
  <c r="H61" i="11"/>
  <c r="D61" i="11"/>
  <c r="I61" i="11"/>
  <c r="F61" i="11"/>
  <c r="E61" i="11"/>
  <c r="M61" i="11"/>
  <c r="C61" i="11"/>
  <c r="P14" i="20"/>
  <c r="Q14" i="20"/>
  <c r="N135" i="20"/>
  <c r="O47" i="20"/>
  <c r="O49" i="20"/>
  <c r="O45" i="20"/>
  <c r="O39" i="20"/>
  <c r="O44" i="20"/>
  <c r="O43" i="20"/>
  <c r="O41" i="20"/>
  <c r="O40" i="20"/>
  <c r="O42" i="20" l="1"/>
  <c r="O48" i="20"/>
  <c r="O46" i="20"/>
  <c r="O50" i="20"/>
  <c r="O135" i="44"/>
  <c r="M135" i="20"/>
  <c r="I139" i="20"/>
  <c r="I145" i="20"/>
  <c r="I137" i="20"/>
  <c r="I126" i="20"/>
  <c r="I144" i="20"/>
  <c r="I143" i="20"/>
  <c r="I140" i="20"/>
  <c r="I141" i="20"/>
  <c r="I127" i="20"/>
  <c r="J136" i="57"/>
  <c r="J124" i="57" s="1"/>
  <c r="J112" i="57" s="1"/>
  <c r="J100" i="57" s="1"/>
  <c r="J88" i="57" s="1"/>
  <c r="J76" i="57" s="1"/>
  <c r="J64" i="57" s="1"/>
  <c r="J52" i="57" s="1"/>
  <c r="J40" i="57" s="1"/>
  <c r="J28" i="57" s="1"/>
  <c r="J16" i="57" s="1"/>
  <c r="J4" i="57" s="1"/>
  <c r="P135" i="57"/>
  <c r="J144" i="57"/>
  <c r="J132" i="57" s="1"/>
  <c r="J120" i="57" s="1"/>
  <c r="J108" i="57" s="1"/>
  <c r="J96" i="57" s="1"/>
  <c r="J84" i="57" s="1"/>
  <c r="J72" i="57" s="1"/>
  <c r="J60" i="57" s="1"/>
  <c r="J48" i="57" s="1"/>
  <c r="J36" i="57" s="1"/>
  <c r="J24" i="57" s="1"/>
  <c r="J12" i="57" s="1"/>
  <c r="P137" i="57"/>
  <c r="J145" i="57"/>
  <c r="J133" i="57" s="1"/>
  <c r="J121" i="57" s="1"/>
  <c r="J109" i="57" s="1"/>
  <c r="J97" i="57" s="1"/>
  <c r="J85" i="57" s="1"/>
  <c r="J73" i="57" s="1"/>
  <c r="J61" i="57" s="1"/>
  <c r="J49" i="57" s="1"/>
  <c r="J37" i="57" s="1"/>
  <c r="J25" i="57" s="1"/>
  <c r="J13" i="57" s="1"/>
  <c r="P145" i="57"/>
  <c r="P148" i="57"/>
  <c r="J148" i="57"/>
  <c r="P140" i="57"/>
  <c r="J140" i="57"/>
  <c r="J128" i="57" s="1"/>
  <c r="J116" i="57" s="1"/>
  <c r="J104" i="57" s="1"/>
  <c r="J92" i="57" s="1"/>
  <c r="J80" i="57" s="1"/>
  <c r="J68" i="57" s="1"/>
  <c r="J56" i="57" s="1"/>
  <c r="J44" i="57" s="1"/>
  <c r="J32" i="57" s="1"/>
  <c r="J20" i="57" s="1"/>
  <c r="J8" i="57" s="1"/>
  <c r="P143" i="57"/>
  <c r="J143" i="57"/>
  <c r="J131" i="57" s="1"/>
  <c r="J119" i="57" s="1"/>
  <c r="J107" i="57" s="1"/>
  <c r="J95" i="57" s="1"/>
  <c r="J83" i="57" s="1"/>
  <c r="J71" i="57" s="1"/>
  <c r="J59" i="57" s="1"/>
  <c r="J47" i="57" s="1"/>
  <c r="J35" i="57" s="1"/>
  <c r="J23" i="57" s="1"/>
  <c r="J11" i="57" s="1"/>
  <c r="P147" i="57"/>
  <c r="J147" i="57"/>
  <c r="P138" i="57"/>
  <c r="J138" i="57"/>
  <c r="J126" i="57" s="1"/>
  <c r="J114" i="57" s="1"/>
  <c r="J102" i="57" s="1"/>
  <c r="J90" i="57" s="1"/>
  <c r="J78" i="57" s="1"/>
  <c r="J66" i="57" s="1"/>
  <c r="J54" i="57" s="1"/>
  <c r="J42" i="57" s="1"/>
  <c r="J30" i="57" s="1"/>
  <c r="J18" i="57" s="1"/>
  <c r="J6" i="57" s="1"/>
  <c r="P146" i="57"/>
  <c r="J146" i="57"/>
  <c r="J134" i="57" s="1"/>
  <c r="J122" i="57" s="1"/>
  <c r="J110" i="57" s="1"/>
  <c r="J98" i="57" s="1"/>
  <c r="J86" i="57" s="1"/>
  <c r="J74" i="57" s="1"/>
  <c r="J62" i="57" s="1"/>
  <c r="J50" i="57" s="1"/>
  <c r="J38" i="57" s="1"/>
  <c r="J26" i="57" s="1"/>
  <c r="J14" i="57" s="1"/>
  <c r="P149" i="57"/>
  <c r="J149" i="57"/>
  <c r="P142" i="57"/>
  <c r="J142" i="57"/>
  <c r="J130" i="57" s="1"/>
  <c r="J118" i="57" s="1"/>
  <c r="J106" i="57" s="1"/>
  <c r="J94" i="57" s="1"/>
  <c r="J82" i="57" s="1"/>
  <c r="J70" i="57" s="1"/>
  <c r="J58" i="57" s="1"/>
  <c r="J46" i="57" s="1"/>
  <c r="J34" i="57" s="1"/>
  <c r="J22" i="57" s="1"/>
  <c r="J10" i="57" s="1"/>
  <c r="P139" i="57"/>
  <c r="J139" i="57"/>
  <c r="J127" i="57" s="1"/>
  <c r="J115" i="57" s="1"/>
  <c r="J103" i="57" s="1"/>
  <c r="J91" i="57" s="1"/>
  <c r="J79" i="57" s="1"/>
  <c r="J67" i="57" s="1"/>
  <c r="J55" i="57" s="1"/>
  <c r="J43" i="57" s="1"/>
  <c r="J31" i="57" s="1"/>
  <c r="J19" i="57" s="1"/>
  <c r="J7" i="57" s="1"/>
  <c r="P156" i="57"/>
  <c r="J156" i="57"/>
  <c r="J141" i="57"/>
  <c r="J129" i="57" s="1"/>
  <c r="J117" i="57" s="1"/>
  <c r="J105" i="57" s="1"/>
  <c r="J93" i="57" s="1"/>
  <c r="J81" i="57" s="1"/>
  <c r="J69" i="57" s="1"/>
  <c r="J57" i="57" s="1"/>
  <c r="J45" i="57" s="1"/>
  <c r="J33" i="57" s="1"/>
  <c r="J21" i="57" s="1"/>
  <c r="J9" i="57" s="1"/>
  <c r="P141" i="57"/>
  <c r="N145" i="20"/>
  <c r="N146" i="20"/>
  <c r="O143" i="44"/>
  <c r="O139" i="44"/>
  <c r="O138" i="44"/>
  <c r="O137" i="44"/>
  <c r="O144" i="44"/>
  <c r="O141" i="44"/>
  <c r="O136" i="44"/>
  <c r="O145" i="44"/>
  <c r="O140" i="44"/>
  <c r="O142" i="44"/>
  <c r="O146" i="44"/>
  <c r="M140" i="20"/>
  <c r="M146" i="20"/>
  <c r="M138" i="20"/>
  <c r="M145" i="20"/>
  <c r="M136" i="20"/>
  <c r="M139" i="20"/>
  <c r="M143" i="20"/>
  <c r="M144" i="20"/>
  <c r="M137" i="20"/>
  <c r="M141" i="20"/>
  <c r="M142" i="20"/>
  <c r="R14" i="20"/>
  <c r="J38" i="9"/>
  <c r="K151" i="44"/>
  <c r="K142" i="44"/>
  <c r="K155" i="44"/>
  <c r="K138" i="44"/>
  <c r="K153" i="44"/>
  <c r="K149" i="44"/>
  <c r="K157" i="44"/>
  <c r="K156" i="44"/>
  <c r="K135" i="44"/>
  <c r="K146" i="44"/>
  <c r="K140" i="44"/>
  <c r="G154" i="44"/>
  <c r="G152" i="44"/>
  <c r="I140" i="44"/>
  <c r="I128" i="44" s="1"/>
  <c r="G158" i="44"/>
  <c r="I146" i="44"/>
  <c r="I134" i="44" s="1"/>
  <c r="G149" i="44"/>
  <c r="I135" i="44"/>
  <c r="I123" i="44" s="1"/>
  <c r="I137" i="44"/>
  <c r="I125" i="44" s="1"/>
  <c r="G147" i="44"/>
  <c r="G157" i="44"/>
  <c r="I145" i="44"/>
  <c r="I133" i="44" s="1"/>
  <c r="G156" i="44"/>
  <c r="I141" i="44"/>
  <c r="I129" i="44" s="1"/>
  <c r="G153" i="44"/>
  <c r="G155" i="44"/>
  <c r="I139" i="44"/>
  <c r="I127" i="44" s="1"/>
  <c r="G151" i="44"/>
  <c r="I136" i="44"/>
  <c r="I124" i="44" s="1"/>
  <c r="G148" i="44"/>
  <c r="I143" i="44"/>
  <c r="I131" i="44" s="1"/>
  <c r="I142" i="44"/>
  <c r="I130" i="44" s="1"/>
  <c r="I144" i="44"/>
  <c r="I132" i="44" s="1"/>
  <c r="P145" i="44"/>
  <c r="J144" i="44"/>
  <c r="P144" i="44"/>
  <c r="J143" i="44"/>
  <c r="P143" i="44"/>
  <c r="H149" i="20"/>
  <c r="N149" i="20" s="1"/>
  <c r="H152" i="20"/>
  <c r="N152" i="20" s="1"/>
  <c r="H147" i="20"/>
  <c r="N147" i="20" s="1"/>
  <c r="G150" i="20"/>
  <c r="G148" i="20"/>
  <c r="H150" i="20"/>
  <c r="N150" i="20" s="1"/>
  <c r="H154" i="20"/>
  <c r="N154" i="20" s="1"/>
  <c r="H148" i="20"/>
  <c r="N148" i="20" s="1"/>
  <c r="G149" i="20"/>
  <c r="G153" i="20"/>
  <c r="G154" i="20"/>
  <c r="H151" i="20"/>
  <c r="N151" i="20" s="1"/>
  <c r="G151" i="20"/>
  <c r="H153" i="20"/>
  <c r="N153" i="20" s="1"/>
  <c r="G147" i="20"/>
  <c r="G152" i="20"/>
  <c r="I138" i="44"/>
  <c r="H153" i="44"/>
  <c r="J141" i="44"/>
  <c r="H152" i="44"/>
  <c r="J140" i="44"/>
  <c r="H154" i="44"/>
  <c r="J142" i="44"/>
  <c r="H150" i="44"/>
  <c r="J138" i="44"/>
  <c r="J126" i="44" s="1"/>
  <c r="J114" i="44" s="1"/>
  <c r="J102" i="44" s="1"/>
  <c r="J90" i="44" s="1"/>
  <c r="J78" i="44" s="1"/>
  <c r="J66" i="44" s="1"/>
  <c r="J54" i="44" s="1"/>
  <c r="J42" i="44" s="1"/>
  <c r="J30" i="44" s="1"/>
  <c r="J18" i="44" s="1"/>
  <c r="J6" i="44" s="1"/>
  <c r="H147" i="44"/>
  <c r="J135" i="44"/>
  <c r="J123" i="44" s="1"/>
  <c r="J111" i="44" s="1"/>
  <c r="J99" i="44" s="1"/>
  <c r="J87" i="44" s="1"/>
  <c r="J75" i="44" s="1"/>
  <c r="J63" i="44" s="1"/>
  <c r="J51" i="44" s="1"/>
  <c r="J39" i="44" s="1"/>
  <c r="J27" i="44" s="1"/>
  <c r="J15" i="44" s="1"/>
  <c r="J3" i="44" s="1"/>
  <c r="H149" i="44"/>
  <c r="J137" i="44"/>
  <c r="J125" i="44" s="1"/>
  <c r="J113" i="44" s="1"/>
  <c r="J101" i="44" s="1"/>
  <c r="J89" i="44" s="1"/>
  <c r="J77" i="44" s="1"/>
  <c r="J65" i="44" s="1"/>
  <c r="J53" i="44" s="1"/>
  <c r="J41" i="44" s="1"/>
  <c r="J29" i="44" s="1"/>
  <c r="J17" i="44" s="1"/>
  <c r="J5" i="44" s="1"/>
  <c r="H148" i="44"/>
  <c r="J136" i="44"/>
  <c r="J124" i="44" s="1"/>
  <c r="J112" i="44" s="1"/>
  <c r="J100" i="44" s="1"/>
  <c r="J88" i="44" s="1"/>
  <c r="J76" i="44" s="1"/>
  <c r="J64" i="44" s="1"/>
  <c r="J52" i="44" s="1"/>
  <c r="J40" i="44" s="1"/>
  <c r="J28" i="44" s="1"/>
  <c r="J16" i="44" s="1"/>
  <c r="J4" i="44" s="1"/>
  <c r="H151" i="44"/>
  <c r="J139" i="44"/>
  <c r="J127" i="44" s="1"/>
  <c r="J115" i="44" s="1"/>
  <c r="J103" i="44" s="1"/>
  <c r="J91" i="44" s="1"/>
  <c r="J79" i="44" s="1"/>
  <c r="J67" i="44" s="1"/>
  <c r="J55" i="44" s="1"/>
  <c r="J43" i="44" s="1"/>
  <c r="J31" i="44" s="1"/>
  <c r="J19" i="44" s="1"/>
  <c r="J7" i="44" s="1"/>
  <c r="G150" i="44"/>
  <c r="H155" i="44"/>
  <c r="H156" i="44"/>
  <c r="P156" i="44" s="1"/>
  <c r="Q19" i="20"/>
  <c r="P19" i="20"/>
  <c r="Q11" i="20"/>
  <c r="P11" i="20"/>
  <c r="Q13" i="20"/>
  <c r="P13" i="20"/>
  <c r="Q7" i="20"/>
  <c r="P7" i="20"/>
  <c r="P30" i="20"/>
  <c r="Q30" i="20"/>
  <c r="Q5" i="20"/>
  <c r="P5" i="20"/>
  <c r="Q12" i="20"/>
  <c r="P12" i="20"/>
  <c r="Q8" i="20"/>
  <c r="P8" i="20"/>
  <c r="O166" i="20"/>
  <c r="Q3" i="20"/>
  <c r="P3" i="20"/>
  <c r="Q4" i="20"/>
  <c r="P4" i="20"/>
  <c r="P6" i="20"/>
  <c r="Q6" i="20"/>
  <c r="P10" i="20"/>
  <c r="Q10" i="20"/>
  <c r="Q9" i="20"/>
  <c r="P9" i="20"/>
  <c r="G156" i="20"/>
  <c r="G157" i="20"/>
  <c r="H156" i="20"/>
  <c r="N156" i="20" s="1"/>
  <c r="G158" i="20"/>
  <c r="H155" i="20"/>
  <c r="N155" i="20" s="1"/>
  <c r="G155" i="20"/>
  <c r="O54" i="20"/>
  <c r="O58" i="20"/>
  <c r="O60" i="20"/>
  <c r="O55" i="20"/>
  <c r="O52" i="20"/>
  <c r="O59" i="20"/>
  <c r="O53" i="20"/>
  <c r="O61" i="20"/>
  <c r="O57" i="20"/>
  <c r="O62" i="20" l="1"/>
  <c r="O56" i="20"/>
  <c r="O51" i="20"/>
  <c r="Q124" i="44"/>
  <c r="I155" i="20"/>
  <c r="I151" i="20"/>
  <c r="I142" i="20"/>
  <c r="I138" i="20"/>
  <c r="I149" i="20"/>
  <c r="I156" i="20"/>
  <c r="I135" i="20"/>
  <c r="I146" i="20"/>
  <c r="I153" i="20"/>
  <c r="I152" i="20"/>
  <c r="I157" i="20"/>
  <c r="J39" i="9"/>
  <c r="P152" i="57"/>
  <c r="J152" i="57"/>
  <c r="P151" i="57"/>
  <c r="J151" i="57"/>
  <c r="J154" i="57"/>
  <c r="P154" i="57"/>
  <c r="J150" i="57"/>
  <c r="P150" i="57"/>
  <c r="J157" i="57"/>
  <c r="P157" i="57"/>
  <c r="P153" i="57"/>
  <c r="J153" i="57"/>
  <c r="J158" i="57"/>
  <c r="P158" i="57"/>
  <c r="P155" i="57"/>
  <c r="J155" i="57"/>
  <c r="O150" i="44"/>
  <c r="O156" i="44"/>
  <c r="O158" i="44"/>
  <c r="O148" i="44"/>
  <c r="O155" i="44"/>
  <c r="O153" i="44"/>
  <c r="O157" i="44"/>
  <c r="O149" i="44"/>
  <c r="O152" i="44"/>
  <c r="O151" i="44"/>
  <c r="O147" i="44"/>
  <c r="O154" i="44"/>
  <c r="I115" i="44"/>
  <c r="Q115" i="44" s="1"/>
  <c r="Q127" i="44"/>
  <c r="R127" i="44" s="1"/>
  <c r="Q125" i="44"/>
  <c r="I111" i="44"/>
  <c r="Q111" i="44" s="1"/>
  <c r="Q123" i="44"/>
  <c r="M156" i="20"/>
  <c r="M152" i="20"/>
  <c r="M150" i="20"/>
  <c r="M158" i="20"/>
  <c r="M147" i="20"/>
  <c r="M154" i="20"/>
  <c r="M153" i="20"/>
  <c r="M155" i="20"/>
  <c r="M157" i="20"/>
  <c r="M151" i="20"/>
  <c r="M149" i="20"/>
  <c r="M148" i="20"/>
  <c r="R6" i="20"/>
  <c r="R8" i="20"/>
  <c r="R5" i="20"/>
  <c r="R7" i="20"/>
  <c r="R11" i="20"/>
  <c r="R9" i="20"/>
  <c r="R3" i="20"/>
  <c r="R30" i="20"/>
  <c r="R4" i="20"/>
  <c r="R10" i="20"/>
  <c r="R12" i="20"/>
  <c r="R13" i="20"/>
  <c r="R19" i="20"/>
  <c r="K147" i="44"/>
  <c r="K158" i="44"/>
  <c r="K152" i="44"/>
  <c r="K154" i="44"/>
  <c r="K150" i="44"/>
  <c r="J130" i="44"/>
  <c r="J118" i="44" s="1"/>
  <c r="J106" i="44" s="1"/>
  <c r="J94" i="44" s="1"/>
  <c r="J82" i="44" s="1"/>
  <c r="J70" i="44" s="1"/>
  <c r="J58" i="44" s="1"/>
  <c r="J46" i="44" s="1"/>
  <c r="J34" i="44" s="1"/>
  <c r="J22" i="44" s="1"/>
  <c r="J10" i="44" s="1"/>
  <c r="J129" i="44"/>
  <c r="J117" i="44" s="1"/>
  <c r="J105" i="44" s="1"/>
  <c r="J93" i="44" s="1"/>
  <c r="J81" i="44" s="1"/>
  <c r="J69" i="44" s="1"/>
  <c r="J57" i="44" s="1"/>
  <c r="J45" i="44" s="1"/>
  <c r="J33" i="44" s="1"/>
  <c r="J21" i="44" s="1"/>
  <c r="J9" i="44" s="1"/>
  <c r="J131" i="44"/>
  <c r="Q131" i="44" s="1"/>
  <c r="J128" i="44"/>
  <c r="J116" i="44" s="1"/>
  <c r="J104" i="44" s="1"/>
  <c r="J92" i="44" s="1"/>
  <c r="J80" i="44" s="1"/>
  <c r="J68" i="44" s="1"/>
  <c r="J56" i="44" s="1"/>
  <c r="J44" i="44" s="1"/>
  <c r="J32" i="44" s="1"/>
  <c r="J20" i="44" s="1"/>
  <c r="J8" i="44" s="1"/>
  <c r="J132" i="44"/>
  <c r="Q132" i="44" s="1"/>
  <c r="I154" i="44"/>
  <c r="I158" i="44"/>
  <c r="I152" i="44"/>
  <c r="I148" i="44"/>
  <c r="I149" i="44"/>
  <c r="I147" i="44"/>
  <c r="I157" i="44"/>
  <c r="I155" i="44"/>
  <c r="I156" i="44"/>
  <c r="I151" i="44"/>
  <c r="H157" i="44"/>
  <c r="J157" i="44" s="1"/>
  <c r="J145" i="44"/>
  <c r="I153" i="44"/>
  <c r="J147" i="44"/>
  <c r="P147" i="44"/>
  <c r="J151" i="44"/>
  <c r="P151" i="44"/>
  <c r="J153" i="44"/>
  <c r="P153" i="44"/>
  <c r="J155" i="44"/>
  <c r="P155" i="44"/>
  <c r="J148" i="44"/>
  <c r="P148" i="44"/>
  <c r="J150" i="44"/>
  <c r="P150" i="44"/>
  <c r="J152" i="44"/>
  <c r="P152" i="44"/>
  <c r="J149" i="44"/>
  <c r="P149" i="44"/>
  <c r="J154" i="44"/>
  <c r="P154" i="44"/>
  <c r="J146" i="44"/>
  <c r="P146" i="44"/>
  <c r="H158" i="20"/>
  <c r="N158" i="20" s="1"/>
  <c r="H157" i="20"/>
  <c r="N157" i="20" s="1"/>
  <c r="H158" i="44"/>
  <c r="I113" i="44"/>
  <c r="Q113" i="44" s="1"/>
  <c r="I118" i="44"/>
  <c r="I116" i="44"/>
  <c r="I112" i="44"/>
  <c r="Q112" i="44" s="1"/>
  <c r="I117" i="44"/>
  <c r="I126" i="44"/>
  <c r="Q126" i="44" s="1"/>
  <c r="I121" i="44"/>
  <c r="I120" i="44"/>
  <c r="I119" i="44"/>
  <c r="I122" i="44"/>
  <c r="I150" i="44"/>
  <c r="J156" i="44"/>
  <c r="G159" i="44"/>
  <c r="Q47" i="20"/>
  <c r="P47" i="20"/>
  <c r="Q33" i="20"/>
  <c r="P33" i="20"/>
  <c r="P38" i="20"/>
  <c r="Q38" i="20"/>
  <c r="Q31" i="20"/>
  <c r="P31" i="20"/>
  <c r="Q32" i="20"/>
  <c r="P32" i="20"/>
  <c r="P46" i="20"/>
  <c r="Q46" i="20"/>
  <c r="Q36" i="20"/>
  <c r="P36" i="20"/>
  <c r="Q44" i="20"/>
  <c r="P44" i="20"/>
  <c r="Q166" i="20"/>
  <c r="Q57" i="20"/>
  <c r="P57" i="20"/>
  <c r="Q55" i="20"/>
  <c r="P55" i="20"/>
  <c r="Q24" i="20"/>
  <c r="P24" i="20"/>
  <c r="Q49" i="20"/>
  <c r="P49" i="20"/>
  <c r="Q23" i="20"/>
  <c r="P23" i="20"/>
  <c r="P18" i="20"/>
  <c r="Q18" i="20"/>
  <c r="Q48" i="20"/>
  <c r="P48" i="20"/>
  <c r="Q29" i="20"/>
  <c r="P29" i="20"/>
  <c r="Q43" i="20"/>
  <c r="P43" i="20"/>
  <c r="Q35" i="20"/>
  <c r="P35" i="20"/>
  <c r="Q15" i="20"/>
  <c r="O167" i="20"/>
  <c r="P15" i="20"/>
  <c r="Q40" i="20"/>
  <c r="P40" i="20"/>
  <c r="Q39" i="20"/>
  <c r="O169" i="20"/>
  <c r="P39" i="20"/>
  <c r="Q21" i="20"/>
  <c r="P21" i="20"/>
  <c r="P34" i="20"/>
  <c r="Q34" i="20"/>
  <c r="Q25" i="20"/>
  <c r="P25" i="20"/>
  <c r="Q45" i="20"/>
  <c r="P45" i="20"/>
  <c r="P50" i="20"/>
  <c r="Q50" i="20"/>
  <c r="P42" i="20"/>
  <c r="Q42" i="20"/>
  <c r="P26" i="20"/>
  <c r="Q26" i="20"/>
  <c r="Q17" i="20"/>
  <c r="P17" i="20"/>
  <c r="P22" i="20"/>
  <c r="Q22" i="20"/>
  <c r="Q37" i="20"/>
  <c r="P37" i="20"/>
  <c r="Q16" i="20"/>
  <c r="P16" i="20"/>
  <c r="Q41" i="20"/>
  <c r="P41" i="20"/>
  <c r="Q20" i="20"/>
  <c r="P20" i="20"/>
  <c r="Q28" i="20"/>
  <c r="P28" i="20"/>
  <c r="Q27" i="20"/>
  <c r="O168" i="20"/>
  <c r="P27" i="20"/>
  <c r="G159" i="20"/>
  <c r="C49" i="11"/>
  <c r="B6" i="9"/>
  <c r="F49" i="11"/>
  <c r="B9" i="9"/>
  <c r="O67" i="20"/>
  <c r="O64" i="20"/>
  <c r="O68" i="20"/>
  <c r="O74" i="20"/>
  <c r="O66" i="20"/>
  <c r="O63" i="20"/>
  <c r="O71" i="20"/>
  <c r="O65" i="20"/>
  <c r="O72" i="20"/>
  <c r="O73" i="20"/>
  <c r="O69" i="20"/>
  <c r="O70" i="20"/>
  <c r="Q117" i="44" l="1"/>
  <c r="R117" i="44" s="1"/>
  <c r="Q116" i="44"/>
  <c r="S116" i="44" s="1"/>
  <c r="I150" i="20"/>
  <c r="I147" i="20"/>
  <c r="I158" i="20"/>
  <c r="I154" i="20"/>
  <c r="I99" i="44"/>
  <c r="Q99" i="44" s="1"/>
  <c r="Q118" i="44"/>
  <c r="S118" i="44" s="1"/>
  <c r="I103" i="44"/>
  <c r="Q103" i="44" s="1"/>
  <c r="Q129" i="44"/>
  <c r="S129" i="44" s="1"/>
  <c r="T129" i="44" s="1"/>
  <c r="Q130" i="44"/>
  <c r="S130" i="44" s="1"/>
  <c r="T130" i="44" s="1"/>
  <c r="Q128" i="44"/>
  <c r="R128" i="44" s="1"/>
  <c r="R31" i="20"/>
  <c r="R27" i="20"/>
  <c r="R20" i="20"/>
  <c r="R16" i="20"/>
  <c r="R25" i="20"/>
  <c r="R21" i="20"/>
  <c r="R15" i="20"/>
  <c r="R43" i="20"/>
  <c r="R48" i="20"/>
  <c r="R23" i="20"/>
  <c r="R24" i="20"/>
  <c r="R57" i="20"/>
  <c r="R38" i="20"/>
  <c r="R22" i="20"/>
  <c r="R33" i="20"/>
  <c r="R42" i="20"/>
  <c r="R34" i="20"/>
  <c r="R40" i="20"/>
  <c r="R32" i="20"/>
  <c r="R47" i="20"/>
  <c r="R50" i="20"/>
  <c r="R39" i="20"/>
  <c r="R28" i="20"/>
  <c r="R41" i="20"/>
  <c r="R37" i="20"/>
  <c r="R17" i="20"/>
  <c r="R45" i="20"/>
  <c r="R35" i="20"/>
  <c r="R29" i="20"/>
  <c r="R49" i="20"/>
  <c r="R55" i="20"/>
  <c r="R46" i="20"/>
  <c r="J119" i="44"/>
  <c r="J107" i="44" s="1"/>
  <c r="J95" i="44" s="1"/>
  <c r="J83" i="44" s="1"/>
  <c r="J71" i="44" s="1"/>
  <c r="J59" i="44" s="1"/>
  <c r="J47" i="44" s="1"/>
  <c r="J35" i="44" s="1"/>
  <c r="J23" i="44" s="1"/>
  <c r="J11" i="44" s="1"/>
  <c r="S132" i="44"/>
  <c r="T132" i="44" s="1"/>
  <c r="R132" i="44"/>
  <c r="J120" i="44"/>
  <c r="J108" i="44" s="1"/>
  <c r="J96" i="44" s="1"/>
  <c r="J84" i="44" s="1"/>
  <c r="J72" i="44" s="1"/>
  <c r="J60" i="44" s="1"/>
  <c r="J48" i="44" s="1"/>
  <c r="J36" i="44" s="1"/>
  <c r="J24" i="44" s="1"/>
  <c r="J12" i="44" s="1"/>
  <c r="J133" i="44"/>
  <c r="Q133" i="44" s="1"/>
  <c r="J134" i="44"/>
  <c r="Q134" i="44" s="1"/>
  <c r="R131" i="44"/>
  <c r="S131" i="44"/>
  <c r="T131" i="44" s="1"/>
  <c r="F54" i="11"/>
  <c r="F60" i="11" s="1"/>
  <c r="F7" i="11"/>
  <c r="C7" i="11"/>
  <c r="C54" i="11"/>
  <c r="C60" i="11" s="1"/>
  <c r="P157" i="44"/>
  <c r="J158" i="44"/>
  <c r="P158" i="44"/>
  <c r="H159" i="44"/>
  <c r="H159" i="20"/>
  <c r="I101" i="44"/>
  <c r="Q101" i="44" s="1"/>
  <c r="I100" i="44"/>
  <c r="Q100" i="44" s="1"/>
  <c r="I105" i="44"/>
  <c r="Q105" i="44" s="1"/>
  <c r="I104" i="44"/>
  <c r="Q104" i="44" s="1"/>
  <c r="I106" i="44"/>
  <c r="Q106" i="44" s="1"/>
  <c r="I114" i="44"/>
  <c r="Q114" i="44" s="1"/>
  <c r="I110" i="44"/>
  <c r="I109" i="44"/>
  <c r="I107" i="44"/>
  <c r="I108" i="44"/>
  <c r="R123" i="44"/>
  <c r="S123" i="44"/>
  <c r="S125" i="44"/>
  <c r="R125" i="44"/>
  <c r="R115" i="44"/>
  <c r="S115" i="44"/>
  <c r="R112" i="44"/>
  <c r="S112" i="44"/>
  <c r="S126" i="44"/>
  <c r="R126" i="44"/>
  <c r="S124" i="44"/>
  <c r="R124" i="44"/>
  <c r="R111" i="44"/>
  <c r="S111" i="44"/>
  <c r="S127" i="44"/>
  <c r="S113" i="44"/>
  <c r="R113" i="44"/>
  <c r="F63" i="11"/>
  <c r="F64" i="11" s="1"/>
  <c r="Q168" i="20"/>
  <c r="O170" i="20"/>
  <c r="Q51" i="20"/>
  <c r="P51" i="20"/>
  <c r="Q61" i="20"/>
  <c r="P61" i="20"/>
  <c r="Q56" i="20"/>
  <c r="P56" i="20"/>
  <c r="R26" i="20"/>
  <c r="Q167" i="20"/>
  <c r="Q63" i="20"/>
  <c r="P63" i="20"/>
  <c r="Q59" i="20"/>
  <c r="P59" i="20"/>
  <c r="P54" i="20"/>
  <c r="Q54" i="20"/>
  <c r="P62" i="20"/>
  <c r="Q62" i="20"/>
  <c r="R44" i="20"/>
  <c r="P58" i="20"/>
  <c r="Q58" i="20"/>
  <c r="Q52" i="20"/>
  <c r="P52" i="20"/>
  <c r="Q53" i="20"/>
  <c r="P53" i="20"/>
  <c r="Q60" i="20"/>
  <c r="P60" i="20"/>
  <c r="Q169" i="20"/>
  <c r="R18" i="20"/>
  <c r="R36" i="20"/>
  <c r="B8" i="9"/>
  <c r="E49" i="11"/>
  <c r="D49" i="11"/>
  <c r="B7" i="9"/>
  <c r="O81" i="20"/>
  <c r="O85" i="20"/>
  <c r="O80" i="20"/>
  <c r="O84" i="20"/>
  <c r="O83" i="20"/>
  <c r="O86" i="20"/>
  <c r="O75" i="20"/>
  <c r="O82" i="20"/>
  <c r="O79" i="20"/>
  <c r="O77" i="20"/>
  <c r="O76" i="20"/>
  <c r="O78" i="20"/>
  <c r="G17" i="9" l="1"/>
  <c r="Q119" i="44"/>
  <c r="L63" i="11"/>
  <c r="L64" i="11" s="1"/>
  <c r="Q107" i="44"/>
  <c r="Q108" i="44"/>
  <c r="I87" i="44"/>
  <c r="Q87" i="44" s="1"/>
  <c r="I91" i="44"/>
  <c r="Q91" i="44" s="1"/>
  <c r="R119" i="44"/>
  <c r="Q120" i="44"/>
  <c r="R120" i="44" s="1"/>
  <c r="R53" i="20"/>
  <c r="R59" i="20"/>
  <c r="R54" i="20"/>
  <c r="R61" i="20"/>
  <c r="R60" i="20"/>
  <c r="R52" i="20"/>
  <c r="R63" i="20"/>
  <c r="R58" i="20"/>
  <c r="R62" i="20"/>
  <c r="R56" i="20"/>
  <c r="R51" i="20"/>
  <c r="F18" i="9"/>
  <c r="F17" i="9"/>
  <c r="I38" i="9"/>
  <c r="H38" i="9"/>
  <c r="L144" i="44"/>
  <c r="Q144" i="44" s="1"/>
  <c r="L142" i="44"/>
  <c r="Q142" i="44" s="1"/>
  <c r="L136" i="44"/>
  <c r="Q136" i="44" s="1"/>
  <c r="L146" i="44"/>
  <c r="Q146" i="44" s="1"/>
  <c r="L137" i="44"/>
  <c r="Q137" i="44" s="1"/>
  <c r="L145" i="44"/>
  <c r="Q145" i="44" s="1"/>
  <c r="L141" i="44"/>
  <c r="Q141" i="44" s="1"/>
  <c r="L135" i="44"/>
  <c r="Q135" i="44" s="1"/>
  <c r="L143" i="44"/>
  <c r="Q143" i="44" s="1"/>
  <c r="L138" i="44"/>
  <c r="Q138" i="44" s="1"/>
  <c r="L140" i="44"/>
  <c r="Q140" i="44" s="1"/>
  <c r="L139" i="44"/>
  <c r="Q139" i="44" s="1"/>
  <c r="R129" i="44"/>
  <c r="S117" i="44"/>
  <c r="T117" i="44" s="1"/>
  <c r="R130" i="44"/>
  <c r="R118" i="44"/>
  <c r="S128" i="44"/>
  <c r="T128" i="44" s="1"/>
  <c r="R116" i="44"/>
  <c r="S134" i="44"/>
  <c r="T134" i="44" s="1"/>
  <c r="R134" i="44"/>
  <c r="R133" i="44"/>
  <c r="S133" i="44"/>
  <c r="T133" i="44" s="1"/>
  <c r="J122" i="44"/>
  <c r="Q122" i="44" s="1"/>
  <c r="J121" i="44"/>
  <c r="Q121" i="44" s="1"/>
  <c r="D7" i="11"/>
  <c r="D54" i="11"/>
  <c r="E54" i="11"/>
  <c r="E7" i="11"/>
  <c r="I89" i="44"/>
  <c r="Q89" i="44" s="1"/>
  <c r="I88" i="44"/>
  <c r="Q88" i="44" s="1"/>
  <c r="I92" i="44"/>
  <c r="Q92" i="44" s="1"/>
  <c r="I93" i="44"/>
  <c r="Q93" i="44" s="1"/>
  <c r="I102" i="44"/>
  <c r="Q102" i="44" s="1"/>
  <c r="I94" i="44"/>
  <c r="Q94" i="44" s="1"/>
  <c r="I95" i="44"/>
  <c r="Q95" i="44" s="1"/>
  <c r="I98" i="44"/>
  <c r="I96" i="44"/>
  <c r="Q96" i="44" s="1"/>
  <c r="I97" i="44"/>
  <c r="T124" i="44"/>
  <c r="T113" i="44"/>
  <c r="T111" i="44"/>
  <c r="R100" i="44"/>
  <c r="S100" i="44"/>
  <c r="S105" i="44"/>
  <c r="R105" i="44"/>
  <c r="R103" i="44"/>
  <c r="S103" i="44"/>
  <c r="S104" i="44"/>
  <c r="R104" i="44"/>
  <c r="S99" i="44"/>
  <c r="R99" i="44"/>
  <c r="T126" i="44"/>
  <c r="T125" i="44"/>
  <c r="T116" i="44"/>
  <c r="T127" i="44"/>
  <c r="T118" i="44"/>
  <c r="R114" i="44"/>
  <c r="S114" i="44"/>
  <c r="T112" i="44"/>
  <c r="T115" i="44"/>
  <c r="S101" i="44"/>
  <c r="R101" i="44"/>
  <c r="T123" i="44"/>
  <c r="S106" i="44"/>
  <c r="R106" i="44"/>
  <c r="D63" i="11"/>
  <c r="D48" i="11"/>
  <c r="E48" i="11"/>
  <c r="E63" i="11"/>
  <c r="I48" i="11"/>
  <c r="I63" i="11"/>
  <c r="I64" i="11" s="1"/>
  <c r="M48" i="11"/>
  <c r="M63" i="11"/>
  <c r="M64" i="11" s="1"/>
  <c r="C63" i="11"/>
  <c r="C48" i="11"/>
  <c r="C59" i="11" s="1"/>
  <c r="L48" i="11"/>
  <c r="H63" i="11"/>
  <c r="H64" i="11" s="1"/>
  <c r="H48" i="11"/>
  <c r="G48" i="11"/>
  <c r="G63" i="11"/>
  <c r="G64" i="11" s="1"/>
  <c r="K63" i="11"/>
  <c r="K64" i="11" s="1"/>
  <c r="K48" i="11"/>
  <c r="F48" i="11"/>
  <c r="J48" i="11"/>
  <c r="J63" i="11"/>
  <c r="J64" i="11" s="1"/>
  <c r="P64" i="20"/>
  <c r="Q64" i="20"/>
  <c r="Q73" i="20"/>
  <c r="P73" i="20"/>
  <c r="Q69" i="20"/>
  <c r="P69" i="20"/>
  <c r="Q170" i="20"/>
  <c r="P68" i="20"/>
  <c r="Q68" i="20"/>
  <c r="P70" i="20"/>
  <c r="Q70" i="20"/>
  <c r="P66" i="20"/>
  <c r="Q66" i="20"/>
  <c r="Q74" i="20"/>
  <c r="P74" i="20"/>
  <c r="Q65" i="20"/>
  <c r="P65" i="20"/>
  <c r="Q75" i="20"/>
  <c r="P75" i="20"/>
  <c r="Q67" i="20"/>
  <c r="P67" i="20"/>
  <c r="Q71" i="20"/>
  <c r="P71" i="20"/>
  <c r="P72" i="20"/>
  <c r="Q72" i="20"/>
  <c r="O171" i="20"/>
  <c r="B10" i="9"/>
  <c r="G49" i="11"/>
  <c r="O87" i="20"/>
  <c r="O92" i="20"/>
  <c r="O91" i="20"/>
  <c r="O95" i="20"/>
  <c r="O90" i="20"/>
  <c r="O94" i="20"/>
  <c r="O88" i="20"/>
  <c r="O98" i="20"/>
  <c r="O89" i="20"/>
  <c r="O97" i="20"/>
  <c r="O93" i="20"/>
  <c r="O96" i="20"/>
  <c r="J144" i="20" l="1"/>
  <c r="O144" i="20" s="1"/>
  <c r="J138" i="20"/>
  <c r="O138" i="20" s="1"/>
  <c r="J141" i="20"/>
  <c r="O141" i="20" s="1"/>
  <c r="J146" i="20"/>
  <c r="O146" i="20" s="1"/>
  <c r="J143" i="20"/>
  <c r="O143" i="20" s="1"/>
  <c r="J140" i="20"/>
  <c r="O140" i="20" s="1"/>
  <c r="J145" i="20"/>
  <c r="O145" i="20" s="1"/>
  <c r="J136" i="20"/>
  <c r="O136" i="20" s="1"/>
  <c r="J139" i="20"/>
  <c r="O139" i="20" s="1"/>
  <c r="J137" i="20"/>
  <c r="O137" i="20" s="1"/>
  <c r="J142" i="20"/>
  <c r="O142" i="20" s="1"/>
  <c r="I39" i="9"/>
  <c r="I75" i="44"/>
  <c r="Q75" i="44" s="1"/>
  <c r="I79" i="44"/>
  <c r="Q79" i="44" s="1"/>
  <c r="R73" i="20"/>
  <c r="R72" i="20"/>
  <c r="R66" i="20"/>
  <c r="R68" i="20"/>
  <c r="R69" i="20"/>
  <c r="R70" i="20"/>
  <c r="R71" i="20"/>
  <c r="R75" i="20"/>
  <c r="R74" i="20"/>
  <c r="R64" i="20"/>
  <c r="R67" i="20"/>
  <c r="R65" i="20"/>
  <c r="F22" i="9"/>
  <c r="H39" i="9"/>
  <c r="L153" i="44"/>
  <c r="Q153" i="44" s="1"/>
  <c r="L149" i="44"/>
  <c r="Q149" i="44" s="1"/>
  <c r="L157" i="44"/>
  <c r="Q157" i="44" s="1"/>
  <c r="L148" i="44"/>
  <c r="Q148" i="44" s="1"/>
  <c r="L152" i="44"/>
  <c r="Q152" i="44" s="1"/>
  <c r="L154" i="44"/>
  <c r="Q154" i="44" s="1"/>
  <c r="L156" i="44"/>
  <c r="Q156" i="44" s="1"/>
  <c r="L151" i="44"/>
  <c r="Q151" i="44" s="1"/>
  <c r="L155" i="44"/>
  <c r="Q155" i="44" s="1"/>
  <c r="L158" i="44"/>
  <c r="Q158" i="44" s="1"/>
  <c r="L147" i="44"/>
  <c r="Q147" i="44" s="1"/>
  <c r="Q178" i="44" s="1"/>
  <c r="L150" i="44"/>
  <c r="Q150" i="44" s="1"/>
  <c r="S176" i="44"/>
  <c r="S119" i="44"/>
  <c r="S120" i="44"/>
  <c r="J109" i="44"/>
  <c r="Q109" i="44" s="1"/>
  <c r="J110" i="44"/>
  <c r="Q110" i="44" s="1"/>
  <c r="D60" i="11"/>
  <c r="E60" i="11"/>
  <c r="G54" i="11"/>
  <c r="G7" i="11"/>
  <c r="I77" i="44"/>
  <c r="Q77" i="44" s="1"/>
  <c r="R145" i="44"/>
  <c r="R135" i="44"/>
  <c r="R138" i="44"/>
  <c r="I76" i="44"/>
  <c r="Q76" i="44" s="1"/>
  <c r="I80" i="44"/>
  <c r="Q80" i="44" s="1"/>
  <c r="I81" i="44"/>
  <c r="Q81" i="44" s="1"/>
  <c r="I82" i="44"/>
  <c r="Q82" i="44" s="1"/>
  <c r="I90" i="44"/>
  <c r="Q90" i="44" s="1"/>
  <c r="I85" i="44"/>
  <c r="I84" i="44"/>
  <c r="Q84" i="44" s="1"/>
  <c r="R108" i="44"/>
  <c r="S108" i="44"/>
  <c r="I86" i="44"/>
  <c r="I83" i="44"/>
  <c r="Q83" i="44" s="1"/>
  <c r="S107" i="44"/>
  <c r="R107" i="44"/>
  <c r="T106" i="44"/>
  <c r="T101" i="44"/>
  <c r="S89" i="44"/>
  <c r="R89" i="44"/>
  <c r="S102" i="44"/>
  <c r="R102" i="44"/>
  <c r="T114" i="44"/>
  <c r="S88" i="44"/>
  <c r="R88" i="44"/>
  <c r="T105" i="44"/>
  <c r="T103" i="44"/>
  <c r="T100" i="44"/>
  <c r="R94" i="44"/>
  <c r="S94" i="44"/>
  <c r="S87" i="44"/>
  <c r="R87" i="44"/>
  <c r="R92" i="44"/>
  <c r="S92" i="44"/>
  <c r="S91" i="44"/>
  <c r="R91" i="44"/>
  <c r="S93" i="44"/>
  <c r="R93" i="44"/>
  <c r="T99" i="44"/>
  <c r="T104" i="44"/>
  <c r="I59" i="11"/>
  <c r="G59" i="11"/>
  <c r="E59" i="11"/>
  <c r="F59" i="11"/>
  <c r="K59" i="11"/>
  <c r="D59" i="11"/>
  <c r="M16" i="11"/>
  <c r="Q171" i="20"/>
  <c r="Q76" i="20"/>
  <c r="P76" i="20"/>
  <c r="P78" i="20"/>
  <c r="Q78" i="20"/>
  <c r="Q85" i="20"/>
  <c r="P85" i="20"/>
  <c r="P86" i="20"/>
  <c r="Q86" i="20"/>
  <c r="Q81" i="20"/>
  <c r="P81" i="20"/>
  <c r="Q84" i="20"/>
  <c r="P84" i="20"/>
  <c r="Q82" i="20"/>
  <c r="P82" i="20"/>
  <c r="P80" i="20"/>
  <c r="Q80" i="20"/>
  <c r="Q79" i="20"/>
  <c r="P79" i="20"/>
  <c r="Q77" i="20"/>
  <c r="P77" i="20"/>
  <c r="Q83" i="20"/>
  <c r="P83" i="20"/>
  <c r="O172" i="20"/>
  <c r="J135" i="20"/>
  <c r="O135" i="20" s="1"/>
  <c r="H49" i="11"/>
  <c r="B11" i="9"/>
  <c r="O101" i="20"/>
  <c r="O102" i="20"/>
  <c r="O105" i="20"/>
  <c r="O103" i="20"/>
  <c r="O107" i="20"/>
  <c r="O109" i="20"/>
  <c r="O100" i="20"/>
  <c r="O110" i="20"/>
  <c r="O108" i="20"/>
  <c r="O99" i="20"/>
  <c r="O104" i="20"/>
  <c r="O106" i="20"/>
  <c r="I23" i="9" l="1"/>
  <c r="I22" i="9"/>
  <c r="J156" i="20"/>
  <c r="O156" i="20" s="1"/>
  <c r="J157" i="20"/>
  <c r="O157" i="20" s="1"/>
  <c r="J153" i="20"/>
  <c r="O153" i="20" s="1"/>
  <c r="J154" i="20"/>
  <c r="O154" i="20" s="1"/>
  <c r="J150" i="20"/>
  <c r="O150" i="20" s="1"/>
  <c r="J152" i="20"/>
  <c r="O152" i="20" s="1"/>
  <c r="J158" i="20"/>
  <c r="O158" i="20" s="1"/>
  <c r="J155" i="20"/>
  <c r="O155" i="20" s="1"/>
  <c r="J149" i="20"/>
  <c r="O149" i="20" s="1"/>
  <c r="J148" i="20"/>
  <c r="O148" i="20" s="1"/>
  <c r="J151" i="20"/>
  <c r="O151" i="20" s="1"/>
  <c r="I63" i="44"/>
  <c r="Q63" i="44" s="1"/>
  <c r="I67" i="44"/>
  <c r="Q67" i="44" s="1"/>
  <c r="R77" i="20"/>
  <c r="R83" i="20"/>
  <c r="R79" i="20"/>
  <c r="R82" i="20"/>
  <c r="R81" i="20"/>
  <c r="R85" i="20"/>
  <c r="R76" i="20"/>
  <c r="R84" i="20"/>
  <c r="R80" i="20"/>
  <c r="R86" i="20"/>
  <c r="R78" i="20"/>
  <c r="N40" i="11"/>
  <c r="N25" i="11"/>
  <c r="M59" i="11"/>
  <c r="O40" i="11"/>
  <c r="L59" i="11"/>
  <c r="J59" i="11"/>
  <c r="T120" i="44"/>
  <c r="H59" i="11"/>
  <c r="R136" i="44"/>
  <c r="R142" i="44"/>
  <c r="R143" i="44"/>
  <c r="R144" i="44"/>
  <c r="R146" i="44"/>
  <c r="R137" i="44"/>
  <c r="R139" i="44"/>
  <c r="R140" i="44"/>
  <c r="R141" i="44"/>
  <c r="T119" i="44"/>
  <c r="S122" i="44"/>
  <c r="R122" i="44"/>
  <c r="J98" i="44"/>
  <c r="Q98" i="44" s="1"/>
  <c r="S121" i="44"/>
  <c r="R121" i="44"/>
  <c r="Q175" i="44"/>
  <c r="J97" i="44"/>
  <c r="Q97" i="44" s="1"/>
  <c r="H7" i="11"/>
  <c r="H54" i="11"/>
  <c r="G60" i="11"/>
  <c r="I65" i="44"/>
  <c r="Q65" i="44" s="1"/>
  <c r="I69" i="44"/>
  <c r="Q69" i="44" s="1"/>
  <c r="I64" i="44"/>
  <c r="Q64" i="44" s="1"/>
  <c r="I68" i="44"/>
  <c r="Q68" i="44" s="1"/>
  <c r="R158" i="44"/>
  <c r="R154" i="44"/>
  <c r="R150" i="44"/>
  <c r="R156" i="44"/>
  <c r="R153" i="44"/>
  <c r="R149" i="44"/>
  <c r="R155" i="44"/>
  <c r="R151" i="44"/>
  <c r="R147" i="44"/>
  <c r="R152" i="44"/>
  <c r="R148" i="44"/>
  <c r="R157" i="44"/>
  <c r="I70" i="44"/>
  <c r="Q70" i="44" s="1"/>
  <c r="I78" i="44"/>
  <c r="Q78" i="44" s="1"/>
  <c r="I71" i="44"/>
  <c r="Q71" i="44" s="1"/>
  <c r="I72" i="44"/>
  <c r="Q72" i="44" s="1"/>
  <c r="T107" i="44"/>
  <c r="R95" i="44"/>
  <c r="S95" i="44"/>
  <c r="S96" i="44"/>
  <c r="R96" i="44"/>
  <c r="I74" i="44"/>
  <c r="T108" i="44"/>
  <c r="I73" i="44"/>
  <c r="T88" i="44"/>
  <c r="S81" i="44"/>
  <c r="R81" i="44"/>
  <c r="R80" i="44"/>
  <c r="S80" i="44"/>
  <c r="R82" i="44"/>
  <c r="S82" i="44"/>
  <c r="T91" i="44"/>
  <c r="R76" i="44"/>
  <c r="S76" i="44"/>
  <c r="S90" i="44"/>
  <c r="R90" i="44"/>
  <c r="S77" i="44"/>
  <c r="R77" i="44"/>
  <c r="T102" i="44"/>
  <c r="T92" i="44"/>
  <c r="T87" i="44"/>
  <c r="T94" i="44"/>
  <c r="T89" i="44"/>
  <c r="R79" i="44"/>
  <c r="S79" i="44"/>
  <c r="R75" i="44"/>
  <c r="S75" i="44"/>
  <c r="T93" i="44"/>
  <c r="Q172" i="20"/>
  <c r="Q90" i="20"/>
  <c r="P90" i="20"/>
  <c r="P94" i="20"/>
  <c r="Q94" i="20"/>
  <c r="P96" i="20"/>
  <c r="Q96" i="20"/>
  <c r="Q89" i="20"/>
  <c r="P89" i="20"/>
  <c r="Q98" i="20"/>
  <c r="P98" i="20"/>
  <c r="Q92" i="20"/>
  <c r="P92" i="20"/>
  <c r="P88" i="20"/>
  <c r="Q88" i="20"/>
  <c r="Q93" i="20"/>
  <c r="P93" i="20"/>
  <c r="Q91" i="20"/>
  <c r="P91" i="20"/>
  <c r="Q95" i="20"/>
  <c r="P95" i="20"/>
  <c r="Q97" i="20"/>
  <c r="P97" i="20"/>
  <c r="Q87" i="20"/>
  <c r="P87" i="20"/>
  <c r="O173" i="20"/>
  <c r="P144" i="20"/>
  <c r="P142" i="20"/>
  <c r="P137" i="20"/>
  <c r="P143" i="20"/>
  <c r="P138" i="20"/>
  <c r="J147" i="20"/>
  <c r="I49" i="11"/>
  <c r="B12" i="9"/>
  <c r="O119" i="20"/>
  <c r="O115" i="20"/>
  <c r="O118" i="20"/>
  <c r="O112" i="20"/>
  <c r="O121" i="20"/>
  <c r="O113" i="20"/>
  <c r="O120" i="20"/>
  <c r="O111" i="20"/>
  <c r="O116" i="20"/>
  <c r="O122" i="20"/>
  <c r="O114" i="20"/>
  <c r="O117" i="20"/>
  <c r="O178" i="20" l="1"/>
  <c r="O147" i="20"/>
  <c r="I51" i="44"/>
  <c r="Q51" i="44" s="1"/>
  <c r="I55" i="44"/>
  <c r="Q55" i="44" s="1"/>
  <c r="S175" i="44"/>
  <c r="R95" i="20"/>
  <c r="R93" i="20"/>
  <c r="R92" i="20"/>
  <c r="R89" i="20"/>
  <c r="R88" i="20"/>
  <c r="R96" i="20"/>
  <c r="R87" i="20"/>
  <c r="R97" i="20"/>
  <c r="R91" i="20"/>
  <c r="R98" i="20"/>
  <c r="R90" i="20"/>
  <c r="R94" i="20"/>
  <c r="P139" i="20"/>
  <c r="P145" i="20"/>
  <c r="P146" i="20"/>
  <c r="P136" i="20"/>
  <c r="S177" i="44"/>
  <c r="P141" i="20"/>
  <c r="O131" i="20"/>
  <c r="O130" i="20"/>
  <c r="O134" i="20"/>
  <c r="O132" i="20"/>
  <c r="O128" i="20"/>
  <c r="O129" i="20"/>
  <c r="O133" i="20"/>
  <c r="J85" i="44"/>
  <c r="Q85" i="44" s="1"/>
  <c r="R110" i="44"/>
  <c r="S110" i="44"/>
  <c r="J86" i="44"/>
  <c r="Q86" i="44" s="1"/>
  <c r="Q174" i="44"/>
  <c r="S109" i="44"/>
  <c r="R109" i="44"/>
  <c r="T121" i="44"/>
  <c r="T122" i="44"/>
  <c r="I7" i="11"/>
  <c r="I54" i="11"/>
  <c r="H60" i="11"/>
  <c r="I66" i="44"/>
  <c r="Q66" i="44" s="1"/>
  <c r="I53" i="44"/>
  <c r="Q53" i="44" s="1"/>
  <c r="I52" i="44"/>
  <c r="Q52" i="44" s="1"/>
  <c r="I57" i="44"/>
  <c r="Q57" i="44" s="1"/>
  <c r="P140" i="20"/>
  <c r="I56" i="44"/>
  <c r="Q56" i="44" s="1"/>
  <c r="S178" i="44"/>
  <c r="I58" i="44"/>
  <c r="Q58" i="44" s="1"/>
  <c r="I61" i="44"/>
  <c r="I62" i="44"/>
  <c r="T96" i="44"/>
  <c r="T95" i="44"/>
  <c r="I60" i="44"/>
  <c r="Q60" i="44" s="1"/>
  <c r="I59" i="44"/>
  <c r="Q59" i="44" s="1"/>
  <c r="S84" i="44"/>
  <c r="R84" i="44"/>
  <c r="R83" i="44"/>
  <c r="S83" i="44"/>
  <c r="R63" i="44"/>
  <c r="S63" i="44"/>
  <c r="T79" i="44"/>
  <c r="T90" i="44"/>
  <c r="T82" i="44"/>
  <c r="R65" i="44"/>
  <c r="S65" i="44"/>
  <c r="R67" i="44"/>
  <c r="S67" i="44"/>
  <c r="S78" i="44"/>
  <c r="R78" i="44"/>
  <c r="S69" i="44"/>
  <c r="R69" i="44"/>
  <c r="T76" i="44"/>
  <c r="T81" i="44"/>
  <c r="R64" i="44"/>
  <c r="S64" i="44"/>
  <c r="S68" i="44"/>
  <c r="R68" i="44"/>
  <c r="T75" i="44"/>
  <c r="T77" i="44"/>
  <c r="R70" i="44"/>
  <c r="S70" i="44"/>
  <c r="T80" i="44"/>
  <c r="M12" i="11"/>
  <c r="Q173" i="20"/>
  <c r="Q106" i="20"/>
  <c r="P106" i="20"/>
  <c r="P104" i="20"/>
  <c r="Q104" i="20"/>
  <c r="O174" i="20"/>
  <c r="Q99" i="20"/>
  <c r="P99" i="20"/>
  <c r="P102" i="20"/>
  <c r="Q102" i="20"/>
  <c r="Q105" i="20"/>
  <c r="P105" i="20"/>
  <c r="Q101" i="20"/>
  <c r="P101" i="20"/>
  <c r="Q111" i="20"/>
  <c r="P111" i="20"/>
  <c r="Q109" i="20"/>
  <c r="P109" i="20"/>
  <c r="Q107" i="20"/>
  <c r="P107" i="20"/>
  <c r="Q100" i="20"/>
  <c r="P100" i="20"/>
  <c r="P110" i="20"/>
  <c r="Q110" i="20"/>
  <c r="Q103" i="20"/>
  <c r="P103" i="20"/>
  <c r="Q108" i="20"/>
  <c r="P108" i="20"/>
  <c r="O177" i="20"/>
  <c r="P155" i="20"/>
  <c r="P150" i="20"/>
  <c r="P154" i="20"/>
  <c r="P151" i="20"/>
  <c r="P157" i="20"/>
  <c r="P156" i="20"/>
  <c r="P158" i="20"/>
  <c r="P153" i="20"/>
  <c r="P152" i="20"/>
  <c r="P149" i="20"/>
  <c r="P148" i="20"/>
  <c r="P135" i="20"/>
  <c r="B13" i="9"/>
  <c r="J49" i="11"/>
  <c r="O127" i="20"/>
  <c r="O124" i="20"/>
  <c r="O125" i="20"/>
  <c r="O126" i="20"/>
  <c r="O123" i="20"/>
  <c r="I39" i="44" l="1"/>
  <c r="Q39" i="44" s="1"/>
  <c r="I43" i="44"/>
  <c r="Q43" i="44" s="1"/>
  <c r="R103" i="20"/>
  <c r="R100" i="20"/>
  <c r="R109" i="20"/>
  <c r="R101" i="20"/>
  <c r="R104" i="20"/>
  <c r="R110" i="20"/>
  <c r="R108" i="20"/>
  <c r="R107" i="20"/>
  <c r="R111" i="20"/>
  <c r="R105" i="20"/>
  <c r="R99" i="20"/>
  <c r="R102" i="20"/>
  <c r="R106" i="20"/>
  <c r="G18" i="9"/>
  <c r="G22" i="9"/>
  <c r="F23" i="9"/>
  <c r="P133" i="20"/>
  <c r="Q133" i="20"/>
  <c r="P128" i="20"/>
  <c r="Q128" i="20"/>
  <c r="Q131" i="20"/>
  <c r="P131" i="20"/>
  <c r="P129" i="20"/>
  <c r="Q129" i="20"/>
  <c r="Q130" i="20"/>
  <c r="P130" i="20"/>
  <c r="Q134" i="20"/>
  <c r="P134" i="20"/>
  <c r="Q132" i="20"/>
  <c r="P132" i="20"/>
  <c r="S174" i="44"/>
  <c r="T109" i="44"/>
  <c r="T110" i="44"/>
  <c r="R98" i="44"/>
  <c r="S98" i="44"/>
  <c r="R97" i="44"/>
  <c r="Q173" i="44"/>
  <c r="S97" i="44"/>
  <c r="J74" i="44"/>
  <c r="Q74" i="44" s="1"/>
  <c r="J73" i="44"/>
  <c r="Q73" i="44" s="1"/>
  <c r="I60" i="11"/>
  <c r="J7" i="11"/>
  <c r="J54" i="11"/>
  <c r="I40" i="44"/>
  <c r="Q40" i="44" s="1"/>
  <c r="I54" i="44"/>
  <c r="Q54" i="44" s="1"/>
  <c r="I41" i="44"/>
  <c r="Q41" i="44" s="1"/>
  <c r="I45" i="44"/>
  <c r="Q45" i="44" s="1"/>
  <c r="Q177" i="20"/>
  <c r="I44" i="44"/>
  <c r="Q44" i="44" s="1"/>
  <c r="I46" i="44"/>
  <c r="Q46" i="44" s="1"/>
  <c r="T83" i="44"/>
  <c r="I47" i="44"/>
  <c r="Q47" i="44" s="1"/>
  <c r="I50" i="44"/>
  <c r="R71" i="44"/>
  <c r="S71" i="44"/>
  <c r="I48" i="44"/>
  <c r="Q48" i="44" s="1"/>
  <c r="I49" i="44"/>
  <c r="T84" i="44"/>
  <c r="R72" i="44"/>
  <c r="S72" i="44"/>
  <c r="T70" i="44"/>
  <c r="R57" i="44"/>
  <c r="S57" i="44"/>
  <c r="T65" i="44"/>
  <c r="R52" i="44"/>
  <c r="S52" i="44"/>
  <c r="R51" i="44"/>
  <c r="S51" i="44"/>
  <c r="S58" i="44"/>
  <c r="R58" i="44"/>
  <c r="T68" i="44"/>
  <c r="T69" i="44"/>
  <c r="T63" i="44"/>
  <c r="T67" i="44"/>
  <c r="S56" i="44"/>
  <c r="R56" i="44"/>
  <c r="R53" i="44"/>
  <c r="S53" i="44"/>
  <c r="S66" i="44"/>
  <c r="R66" i="44"/>
  <c r="S55" i="44"/>
  <c r="R55" i="44"/>
  <c r="T64" i="44"/>
  <c r="T78" i="44"/>
  <c r="O175" i="20"/>
  <c r="P120" i="20"/>
  <c r="Q120" i="20"/>
  <c r="Q113" i="20"/>
  <c r="P113" i="20"/>
  <c r="Q119" i="20"/>
  <c r="P119" i="20"/>
  <c r="Q116" i="20"/>
  <c r="P116" i="20"/>
  <c r="Q115" i="20"/>
  <c r="P115" i="20"/>
  <c r="Q174" i="20"/>
  <c r="Q123" i="20"/>
  <c r="P123" i="20"/>
  <c r="P118" i="20"/>
  <c r="Q118" i="20"/>
  <c r="Q122" i="20"/>
  <c r="P122" i="20"/>
  <c r="P112" i="20"/>
  <c r="Q112" i="20"/>
  <c r="Q121" i="20"/>
  <c r="P121" i="20"/>
  <c r="Q117" i="20"/>
  <c r="P117" i="20"/>
  <c r="Q114" i="20"/>
  <c r="P114" i="20"/>
  <c r="P147" i="20"/>
  <c r="B14" i="9"/>
  <c r="K49" i="11"/>
  <c r="G23" i="9" l="1"/>
  <c r="I27" i="44"/>
  <c r="Q27" i="44" s="1"/>
  <c r="C17" i="9"/>
  <c r="C22" i="9" s="1"/>
  <c r="I31" i="44"/>
  <c r="Q31" i="44" s="1"/>
  <c r="Q178" i="20"/>
  <c r="R134" i="20"/>
  <c r="R133" i="20"/>
  <c r="R114" i="20"/>
  <c r="R121" i="20"/>
  <c r="R122" i="20"/>
  <c r="R123" i="20"/>
  <c r="R129" i="20"/>
  <c r="R131" i="20"/>
  <c r="R115" i="20"/>
  <c r="R119" i="20"/>
  <c r="R112" i="20"/>
  <c r="R118" i="20"/>
  <c r="R132" i="20"/>
  <c r="R128" i="20"/>
  <c r="R116" i="20"/>
  <c r="R113" i="20"/>
  <c r="R117" i="20"/>
  <c r="R120" i="20"/>
  <c r="R130" i="20"/>
  <c r="N30" i="11"/>
  <c r="O30" i="11"/>
  <c r="O25" i="11"/>
  <c r="J60" i="11"/>
  <c r="J61" i="44"/>
  <c r="Q61" i="44" s="1"/>
  <c r="S86" i="44"/>
  <c r="R86" i="44"/>
  <c r="S173" i="44"/>
  <c r="J62" i="44"/>
  <c r="Q62" i="44" s="1"/>
  <c r="T98" i="44"/>
  <c r="Q172" i="44"/>
  <c r="R85" i="44"/>
  <c r="S85" i="44"/>
  <c r="T97" i="44"/>
  <c r="K54" i="11"/>
  <c r="K7" i="11"/>
  <c r="I28" i="44"/>
  <c r="Q28" i="44" s="1"/>
  <c r="I29" i="44"/>
  <c r="Q29" i="44" s="1"/>
  <c r="I42" i="44"/>
  <c r="Q42" i="44" s="1"/>
  <c r="I33" i="44"/>
  <c r="Q33" i="44" s="1"/>
  <c r="I32" i="44"/>
  <c r="Q32" i="44" s="1"/>
  <c r="I34" i="44"/>
  <c r="Q34" i="44" s="1"/>
  <c r="T72" i="44"/>
  <c r="I37" i="44"/>
  <c r="I38" i="44"/>
  <c r="I35" i="44"/>
  <c r="Q35" i="44" s="1"/>
  <c r="S59" i="44"/>
  <c r="R59" i="44"/>
  <c r="I36" i="44"/>
  <c r="Q36" i="44" s="1"/>
  <c r="T71" i="44"/>
  <c r="R60" i="44"/>
  <c r="S60" i="44"/>
  <c r="R40" i="44"/>
  <c r="S40" i="44"/>
  <c r="T55" i="44"/>
  <c r="T66" i="44"/>
  <c r="T51" i="44"/>
  <c r="R44" i="44"/>
  <c r="S44" i="44"/>
  <c r="T53" i="44"/>
  <c r="S46" i="44"/>
  <c r="R46" i="44"/>
  <c r="S39" i="44"/>
  <c r="R39" i="44"/>
  <c r="R45" i="44"/>
  <c r="S45" i="44"/>
  <c r="S43" i="44"/>
  <c r="R43" i="44"/>
  <c r="S54" i="44"/>
  <c r="R54" i="44"/>
  <c r="S41" i="44"/>
  <c r="R41" i="44"/>
  <c r="T56" i="44"/>
  <c r="T58" i="44"/>
  <c r="T52" i="44"/>
  <c r="T57" i="44"/>
  <c r="M20" i="11"/>
  <c r="B16" i="9"/>
  <c r="O176" i="20"/>
  <c r="Q175" i="20"/>
  <c r="Q125" i="20"/>
  <c r="P125" i="20"/>
  <c r="Q127" i="20"/>
  <c r="P127" i="20"/>
  <c r="P126" i="20"/>
  <c r="Q126" i="20"/>
  <c r="Q124" i="20"/>
  <c r="P124" i="20"/>
  <c r="B15" i="9"/>
  <c r="I15" i="44" l="1"/>
  <c r="Q15" i="44" s="1"/>
  <c r="I19" i="44"/>
  <c r="Q19" i="44" s="1"/>
  <c r="C18" i="9"/>
  <c r="C23" i="9" s="1"/>
  <c r="N12" i="11"/>
  <c r="Q158" i="57"/>
  <c r="R124" i="20"/>
  <c r="R127" i="20"/>
  <c r="R126" i="20"/>
  <c r="R125" i="20"/>
  <c r="H22" i="9"/>
  <c r="K60" i="11"/>
  <c r="S172" i="44"/>
  <c r="T85" i="44"/>
  <c r="S74" i="44"/>
  <c r="R74" i="44"/>
  <c r="T86" i="44"/>
  <c r="J50" i="44"/>
  <c r="Q50" i="44" s="1"/>
  <c r="Q171" i="44"/>
  <c r="S73" i="44"/>
  <c r="R73" i="44"/>
  <c r="J49" i="44"/>
  <c r="Q49" i="44" s="1"/>
  <c r="L7" i="11"/>
  <c r="L54" i="11"/>
  <c r="M49" i="11"/>
  <c r="I16" i="44"/>
  <c r="Q16" i="44" s="1"/>
  <c r="I17" i="44"/>
  <c r="Q17" i="44" s="1"/>
  <c r="I30" i="44"/>
  <c r="Q30" i="44" s="1"/>
  <c r="I21" i="44"/>
  <c r="Q21" i="44" s="1"/>
  <c r="I20" i="44"/>
  <c r="Q20" i="44" s="1"/>
  <c r="I22" i="44"/>
  <c r="Q22" i="44" s="1"/>
  <c r="R48" i="44"/>
  <c r="S48" i="44"/>
  <c r="I23" i="44"/>
  <c r="Q23" i="44" s="1"/>
  <c r="I25" i="44"/>
  <c r="S47" i="44"/>
  <c r="R47" i="44"/>
  <c r="T59" i="44"/>
  <c r="I26" i="44"/>
  <c r="T60" i="44"/>
  <c r="I24" i="44"/>
  <c r="Q24" i="44" s="1"/>
  <c r="T54" i="44"/>
  <c r="T45" i="44"/>
  <c r="S28" i="44"/>
  <c r="R28" i="44"/>
  <c r="S42" i="44"/>
  <c r="R42" i="44"/>
  <c r="S32" i="44"/>
  <c r="R32" i="44"/>
  <c r="T40" i="44"/>
  <c r="R29" i="44"/>
  <c r="S29" i="44"/>
  <c r="S33" i="44"/>
  <c r="R33" i="44"/>
  <c r="R27" i="44"/>
  <c r="S27" i="44"/>
  <c r="T46" i="44"/>
  <c r="T41" i="44"/>
  <c r="T43" i="44"/>
  <c r="T39" i="44"/>
  <c r="T44" i="44"/>
  <c r="S34" i="44"/>
  <c r="R34" i="44"/>
  <c r="S31" i="44"/>
  <c r="R31" i="44"/>
  <c r="M7" i="11"/>
  <c r="M54" i="11"/>
  <c r="Q176" i="20"/>
  <c r="R159" i="20" l="1"/>
  <c r="I3" i="44"/>
  <c r="O12" i="11"/>
  <c r="I7" i="44"/>
  <c r="Q7" i="44" s="1"/>
  <c r="R7" i="44" s="1"/>
  <c r="Q156" i="57"/>
  <c r="Q157" i="57"/>
  <c r="Q155" i="57"/>
  <c r="Q154" i="57"/>
  <c r="Q151" i="57"/>
  <c r="Q152" i="57"/>
  <c r="Q153" i="57"/>
  <c r="Q149" i="57"/>
  <c r="Q150" i="57"/>
  <c r="Q148" i="57"/>
  <c r="Q147" i="57"/>
  <c r="Q144" i="57"/>
  <c r="Q139" i="57"/>
  <c r="Q138" i="57"/>
  <c r="Q137" i="57"/>
  <c r="Q140" i="57"/>
  <c r="Q145" i="57"/>
  <c r="Q136" i="57"/>
  <c r="Q146" i="57"/>
  <c r="Q141" i="57"/>
  <c r="Q143" i="57"/>
  <c r="Q142" i="57"/>
  <c r="N35" i="11"/>
  <c r="S171" i="44"/>
  <c r="J37" i="44"/>
  <c r="Q37" i="44" s="1"/>
  <c r="S62" i="44"/>
  <c r="R62" i="44"/>
  <c r="J38" i="44"/>
  <c r="Q38" i="44" s="1"/>
  <c r="T74" i="44"/>
  <c r="T73" i="44"/>
  <c r="R61" i="44"/>
  <c r="Q170" i="44"/>
  <c r="S61" i="44"/>
  <c r="L60" i="11"/>
  <c r="I4" i="44"/>
  <c r="Q4" i="44" s="1"/>
  <c r="R4" i="44" s="1"/>
  <c r="I5" i="44"/>
  <c r="I9" i="44"/>
  <c r="I18" i="44"/>
  <c r="Q18" i="44" s="1"/>
  <c r="I8" i="44"/>
  <c r="I10" i="44"/>
  <c r="I11" i="44"/>
  <c r="Q11" i="44" s="1"/>
  <c r="T48" i="44"/>
  <c r="I12" i="44"/>
  <c r="Q12" i="44" s="1"/>
  <c r="T47" i="44"/>
  <c r="R35" i="44"/>
  <c r="S35" i="44"/>
  <c r="S36" i="44"/>
  <c r="R36" i="44"/>
  <c r="I14" i="44"/>
  <c r="I13" i="44"/>
  <c r="S21" i="44"/>
  <c r="R21" i="44"/>
  <c r="S20" i="44"/>
  <c r="R20" i="44"/>
  <c r="S16" i="44"/>
  <c r="R16" i="44"/>
  <c r="T33" i="44"/>
  <c r="T42" i="44"/>
  <c r="T34" i="44"/>
  <c r="T27" i="44"/>
  <c r="S22" i="44"/>
  <c r="R22" i="44"/>
  <c r="T29" i="44"/>
  <c r="R17" i="44"/>
  <c r="S17" i="44"/>
  <c r="S15" i="44"/>
  <c r="R15" i="44"/>
  <c r="S30" i="44"/>
  <c r="R30" i="44"/>
  <c r="T32" i="44"/>
  <c r="T28" i="44"/>
  <c r="T31" i="44"/>
  <c r="S19" i="44"/>
  <c r="R19" i="44"/>
  <c r="M60" i="11"/>
  <c r="I135" i="57" l="1"/>
  <c r="Q135" i="57"/>
  <c r="Q3" i="44"/>
  <c r="S7" i="44"/>
  <c r="T7" i="44" s="1"/>
  <c r="O142" i="57"/>
  <c r="I142" i="57"/>
  <c r="I130" i="57" s="1"/>
  <c r="O136" i="57"/>
  <c r="I136" i="57"/>
  <c r="I124" i="57" s="1"/>
  <c r="O137" i="57"/>
  <c r="I137" i="57"/>
  <c r="I125" i="57" s="1"/>
  <c r="O138" i="57"/>
  <c r="I138" i="57"/>
  <c r="I126" i="57" s="1"/>
  <c r="O141" i="57"/>
  <c r="I141" i="57"/>
  <c r="I129" i="57" s="1"/>
  <c r="I146" i="57"/>
  <c r="I134" i="57" s="1"/>
  <c r="O146" i="57"/>
  <c r="O143" i="57"/>
  <c r="I143" i="57"/>
  <c r="I131" i="57" s="1"/>
  <c r="O145" i="57"/>
  <c r="I145" i="57"/>
  <c r="I133" i="57" s="1"/>
  <c r="O140" i="57"/>
  <c r="I140" i="57"/>
  <c r="I128" i="57" s="1"/>
  <c r="I139" i="57"/>
  <c r="I127" i="57" s="1"/>
  <c r="O139" i="57"/>
  <c r="O144" i="57"/>
  <c r="I144" i="57"/>
  <c r="I132" i="57" s="1"/>
  <c r="I123" i="57"/>
  <c r="O135" i="57"/>
  <c r="Q10" i="44"/>
  <c r="S10" i="44" s="1"/>
  <c r="Q8" i="44"/>
  <c r="S8" i="44" s="1"/>
  <c r="Q9" i="44"/>
  <c r="S9" i="44" s="1"/>
  <c r="Q5" i="44"/>
  <c r="S5" i="44" s="1"/>
  <c r="H23" i="9"/>
  <c r="S170" i="44"/>
  <c r="T62" i="44"/>
  <c r="R50" i="44"/>
  <c r="S50" i="44"/>
  <c r="S49" i="44"/>
  <c r="Q169" i="44"/>
  <c r="R49" i="44"/>
  <c r="T61" i="44"/>
  <c r="J26" i="44"/>
  <c r="Q26" i="44" s="1"/>
  <c r="J25" i="44"/>
  <c r="Q25" i="44" s="1"/>
  <c r="S4" i="44"/>
  <c r="T4" i="44" s="1"/>
  <c r="I6" i="44"/>
  <c r="T36" i="44"/>
  <c r="R11" i="44"/>
  <c r="S11" i="44"/>
  <c r="R23" i="44"/>
  <c r="S23" i="44"/>
  <c r="T35" i="44"/>
  <c r="R12" i="44"/>
  <c r="S12" i="44"/>
  <c r="S24" i="44"/>
  <c r="R24" i="44"/>
  <c r="T19" i="44"/>
  <c r="T15" i="44"/>
  <c r="T20" i="44"/>
  <c r="T22" i="44"/>
  <c r="T16" i="44"/>
  <c r="T21" i="44"/>
  <c r="S18" i="44"/>
  <c r="R18" i="44"/>
  <c r="T30" i="44"/>
  <c r="T17" i="44"/>
  <c r="S3" i="44" l="1"/>
  <c r="T3" i="44" s="1"/>
  <c r="R3" i="44"/>
  <c r="S169" i="44"/>
  <c r="R10" i="44"/>
  <c r="R9" i="44"/>
  <c r="S139" i="57"/>
  <c r="R139" i="57"/>
  <c r="S145" i="57"/>
  <c r="R145" i="57"/>
  <c r="S143" i="57"/>
  <c r="R143" i="57"/>
  <c r="I116" i="57"/>
  <c r="Q128" i="57"/>
  <c r="I121" i="57"/>
  <c r="Q133" i="57"/>
  <c r="I122" i="57"/>
  <c r="Q134" i="57"/>
  <c r="O149" i="57"/>
  <c r="I149" i="57"/>
  <c r="S136" i="57"/>
  <c r="R136" i="57"/>
  <c r="R142" i="57"/>
  <c r="S142" i="57"/>
  <c r="I156" i="57"/>
  <c r="O156" i="57"/>
  <c r="I151" i="57"/>
  <c r="O151" i="57"/>
  <c r="I119" i="57"/>
  <c r="Q131" i="57"/>
  <c r="R146" i="57"/>
  <c r="S146" i="57"/>
  <c r="R141" i="57"/>
  <c r="S141" i="57"/>
  <c r="O150" i="57"/>
  <c r="I150" i="57"/>
  <c r="I112" i="57"/>
  <c r="Q124" i="57"/>
  <c r="O154" i="57"/>
  <c r="I154" i="57"/>
  <c r="I120" i="57"/>
  <c r="Q132" i="57"/>
  <c r="S140" i="57"/>
  <c r="R140" i="57"/>
  <c r="I117" i="57"/>
  <c r="Q129" i="57"/>
  <c r="R138" i="57"/>
  <c r="S138" i="57"/>
  <c r="R137" i="57"/>
  <c r="S137" i="57"/>
  <c r="I148" i="57"/>
  <c r="O148" i="57"/>
  <c r="I118" i="57"/>
  <c r="Q130" i="57"/>
  <c r="S144" i="57"/>
  <c r="R144" i="57"/>
  <c r="I115" i="57"/>
  <c r="Q127" i="57"/>
  <c r="I152" i="57"/>
  <c r="O152" i="57"/>
  <c r="O157" i="57"/>
  <c r="I157" i="57"/>
  <c r="O155" i="57"/>
  <c r="I155" i="57"/>
  <c r="O158" i="57"/>
  <c r="I158" i="57"/>
  <c r="O153" i="57"/>
  <c r="I153" i="57"/>
  <c r="Q126" i="57"/>
  <c r="I114" i="57"/>
  <c r="I113" i="57"/>
  <c r="Q125" i="57"/>
  <c r="S135" i="57"/>
  <c r="R135" i="57"/>
  <c r="Q177" i="57"/>
  <c r="I111" i="57"/>
  <c r="Q123" i="57"/>
  <c r="I147" i="57"/>
  <c r="O147" i="57"/>
  <c r="R8" i="44"/>
  <c r="R5" i="44"/>
  <c r="T9" i="44"/>
  <c r="T8" i="44"/>
  <c r="T10" i="44"/>
  <c r="Q6" i="44"/>
  <c r="T5" i="44"/>
  <c r="O35" i="11"/>
  <c r="J14" i="44"/>
  <c r="Q14" i="44" s="1"/>
  <c r="S37" i="44"/>
  <c r="Q168" i="44"/>
  <c r="R37" i="44"/>
  <c r="T49" i="44"/>
  <c r="J13" i="44"/>
  <c r="Q13" i="44" s="1"/>
  <c r="T50" i="44"/>
  <c r="R38" i="44"/>
  <c r="S38" i="44"/>
  <c r="S139" i="44"/>
  <c r="S143" i="44"/>
  <c r="S151" i="44"/>
  <c r="S155" i="44"/>
  <c r="S136" i="44"/>
  <c r="S140" i="44"/>
  <c r="S144" i="44"/>
  <c r="S148" i="44"/>
  <c r="S152" i="44"/>
  <c r="S156" i="44"/>
  <c r="S137" i="44"/>
  <c r="S141" i="44"/>
  <c r="S145" i="44"/>
  <c r="S149" i="44"/>
  <c r="S153" i="44"/>
  <c r="S157" i="44"/>
  <c r="S138" i="44"/>
  <c r="S142" i="44"/>
  <c r="S146" i="44"/>
  <c r="S150" i="44"/>
  <c r="S154" i="44"/>
  <c r="S158" i="44"/>
  <c r="T12" i="44"/>
  <c r="T23" i="44"/>
  <c r="T11" i="44"/>
  <c r="T24" i="44"/>
  <c r="T18" i="44"/>
  <c r="S6" i="44" l="1"/>
  <c r="R6" i="44"/>
  <c r="J22" i="9"/>
  <c r="S177" i="57"/>
  <c r="U177" i="57" s="1"/>
  <c r="S158" i="57"/>
  <c r="R158" i="57"/>
  <c r="R155" i="57"/>
  <c r="S155" i="57"/>
  <c r="S150" i="57"/>
  <c r="R150" i="57"/>
  <c r="R153" i="57"/>
  <c r="S153" i="57"/>
  <c r="S157" i="57"/>
  <c r="R157" i="57"/>
  <c r="Q114" i="57"/>
  <c r="I102" i="57"/>
  <c r="S148" i="57"/>
  <c r="R148" i="57"/>
  <c r="S129" i="57"/>
  <c r="T129" i="57" s="1"/>
  <c r="R129" i="57"/>
  <c r="S134" i="57"/>
  <c r="T134" i="57" s="1"/>
  <c r="R134" i="57"/>
  <c r="R133" i="57"/>
  <c r="S133" i="57"/>
  <c r="T133" i="57" s="1"/>
  <c r="R126" i="57"/>
  <c r="S126" i="57"/>
  <c r="R127" i="57"/>
  <c r="S127" i="57"/>
  <c r="Q117" i="57"/>
  <c r="I105" i="57"/>
  <c r="S124" i="57"/>
  <c r="R124" i="57"/>
  <c r="S156" i="57"/>
  <c r="R156" i="57"/>
  <c r="S149" i="57"/>
  <c r="R149" i="57"/>
  <c r="Q122" i="57"/>
  <c r="I110" i="57"/>
  <c r="Q121" i="57"/>
  <c r="I109" i="57"/>
  <c r="S125" i="57"/>
  <c r="R125" i="57"/>
  <c r="S152" i="57"/>
  <c r="R152" i="57"/>
  <c r="I103" i="57"/>
  <c r="Q115" i="57"/>
  <c r="S130" i="57"/>
  <c r="T130" i="57" s="1"/>
  <c r="R130" i="57"/>
  <c r="R132" i="57"/>
  <c r="S132" i="57"/>
  <c r="T132" i="57" s="1"/>
  <c r="R154" i="57"/>
  <c r="S154" i="57"/>
  <c r="I100" i="57"/>
  <c r="Q112" i="57"/>
  <c r="S131" i="57"/>
  <c r="T131" i="57" s="1"/>
  <c r="R131" i="57"/>
  <c r="S151" i="57"/>
  <c r="R151" i="57"/>
  <c r="R128" i="57"/>
  <c r="S128" i="57"/>
  <c r="Q113" i="57"/>
  <c r="I101" i="57"/>
  <c r="I106" i="57"/>
  <c r="Q118" i="57"/>
  <c r="Q120" i="57"/>
  <c r="I108" i="57"/>
  <c r="I107" i="57"/>
  <c r="Q119" i="57"/>
  <c r="Q116" i="57"/>
  <c r="I104" i="57"/>
  <c r="S147" i="57"/>
  <c r="R147" i="57"/>
  <c r="Q178" i="57"/>
  <c r="I99" i="57"/>
  <c r="Q111" i="57"/>
  <c r="S123" i="57"/>
  <c r="R123" i="57"/>
  <c r="Q176" i="57"/>
  <c r="T6" i="44"/>
  <c r="Q166" i="44"/>
  <c r="S13" i="44"/>
  <c r="R13" i="44"/>
  <c r="T37" i="44"/>
  <c r="R26" i="44"/>
  <c r="S26" i="44"/>
  <c r="T38" i="44"/>
  <c r="S25" i="44"/>
  <c r="R25" i="44"/>
  <c r="Q167" i="44"/>
  <c r="S168" i="44"/>
  <c r="R14" i="44"/>
  <c r="S14" i="44"/>
  <c r="S147" i="44"/>
  <c r="S135" i="44"/>
  <c r="Q177" i="44"/>
  <c r="Q176" i="44"/>
  <c r="N45" i="11" l="1"/>
  <c r="S178" i="57"/>
  <c r="U178" i="57" s="1"/>
  <c r="S176" i="57"/>
  <c r="Q104" i="57"/>
  <c r="I92" i="57"/>
  <c r="R119" i="57"/>
  <c r="S119" i="57"/>
  <c r="Q101" i="57"/>
  <c r="I89" i="57"/>
  <c r="S115" i="57"/>
  <c r="R115" i="57"/>
  <c r="Q109" i="57"/>
  <c r="I97" i="57"/>
  <c r="Q110" i="57"/>
  <c r="I98" i="57"/>
  <c r="T126" i="57"/>
  <c r="Q102" i="57"/>
  <c r="I90" i="57"/>
  <c r="R116" i="57"/>
  <c r="S116" i="57"/>
  <c r="Q107" i="57"/>
  <c r="I95" i="57"/>
  <c r="R113" i="57"/>
  <c r="S113" i="57"/>
  <c r="I91" i="57"/>
  <c r="Q103" i="57"/>
  <c r="T125" i="57"/>
  <c r="S121" i="57"/>
  <c r="R121" i="57"/>
  <c r="S122" i="57"/>
  <c r="R122" i="57"/>
  <c r="T124" i="57"/>
  <c r="S114" i="57"/>
  <c r="R114" i="57"/>
  <c r="Q108" i="57"/>
  <c r="I96" i="57"/>
  <c r="S118" i="57"/>
  <c r="R118" i="57"/>
  <c r="T128" i="57"/>
  <c r="S112" i="57"/>
  <c r="R112" i="57"/>
  <c r="I93" i="57"/>
  <c r="Q105" i="57"/>
  <c r="T127" i="57"/>
  <c r="R120" i="57"/>
  <c r="S120" i="57"/>
  <c r="Q106" i="57"/>
  <c r="I94" i="57"/>
  <c r="I88" i="57"/>
  <c r="Q100" i="57"/>
  <c r="S117" i="57"/>
  <c r="R117" i="57"/>
  <c r="I87" i="57"/>
  <c r="Q99" i="57"/>
  <c r="T123" i="57"/>
  <c r="S111" i="57"/>
  <c r="R111" i="57"/>
  <c r="Q175" i="57"/>
  <c r="S166" i="44"/>
  <c r="S167" i="44"/>
  <c r="T14" i="44"/>
  <c r="T26" i="44"/>
  <c r="T25" i="44"/>
  <c r="T13" i="44"/>
  <c r="S175" i="57" l="1"/>
  <c r="S105" i="57"/>
  <c r="R105" i="57"/>
  <c r="I84" i="57"/>
  <c r="Q96" i="57"/>
  <c r="R103" i="57"/>
  <c r="S103" i="57"/>
  <c r="T113" i="57"/>
  <c r="I83" i="57"/>
  <c r="Q95" i="57"/>
  <c r="I78" i="57"/>
  <c r="Q90" i="57"/>
  <c r="Q98" i="57"/>
  <c r="I86" i="57"/>
  <c r="I77" i="57"/>
  <c r="Q89" i="57"/>
  <c r="T119" i="57"/>
  <c r="Q93" i="57"/>
  <c r="I81" i="57"/>
  <c r="T118" i="57"/>
  <c r="R108" i="57"/>
  <c r="S108" i="57"/>
  <c r="T122" i="57"/>
  <c r="I79" i="57"/>
  <c r="Q91" i="57"/>
  <c r="S107" i="57"/>
  <c r="R107" i="57"/>
  <c r="R102" i="57"/>
  <c r="S102" i="57"/>
  <c r="R110" i="57"/>
  <c r="S110" i="57"/>
  <c r="S101" i="57"/>
  <c r="R101" i="57"/>
  <c r="R100" i="57"/>
  <c r="S100" i="57"/>
  <c r="Q94" i="57"/>
  <c r="I82" i="57"/>
  <c r="T120" i="57"/>
  <c r="T116" i="57"/>
  <c r="Q97" i="57"/>
  <c r="I85" i="57"/>
  <c r="I80" i="57"/>
  <c r="Q92" i="57"/>
  <c r="T117" i="57"/>
  <c r="Q88" i="57"/>
  <c r="I76" i="57"/>
  <c r="R106" i="57"/>
  <c r="S106" i="57"/>
  <c r="T112" i="57"/>
  <c r="T114" i="57"/>
  <c r="T121" i="57"/>
  <c r="S109" i="57"/>
  <c r="R109" i="57"/>
  <c r="T115" i="57"/>
  <c r="R104" i="57"/>
  <c r="S104" i="57"/>
  <c r="T111" i="57"/>
  <c r="R99" i="57"/>
  <c r="Q174" i="57"/>
  <c r="S99" i="57"/>
  <c r="Q87" i="57"/>
  <c r="I75" i="57"/>
  <c r="T104" i="57" l="1"/>
  <c r="T109" i="57"/>
  <c r="T101" i="57"/>
  <c r="S98" i="57"/>
  <c r="R98" i="57"/>
  <c r="T105" i="57"/>
  <c r="S174" i="57"/>
  <c r="I70" i="57"/>
  <c r="Q82" i="57"/>
  <c r="S91" i="57"/>
  <c r="R91" i="57"/>
  <c r="S90" i="57"/>
  <c r="R90" i="57"/>
  <c r="T103" i="57"/>
  <c r="R96" i="57"/>
  <c r="S96" i="57"/>
  <c r="R97" i="57"/>
  <c r="S97" i="57"/>
  <c r="R93" i="57"/>
  <c r="S93" i="57"/>
  <c r="Q77" i="57"/>
  <c r="I65" i="57"/>
  <c r="I71" i="57"/>
  <c r="Q83" i="57"/>
  <c r="Q76" i="57"/>
  <c r="I64" i="57"/>
  <c r="S92" i="57"/>
  <c r="R92" i="57"/>
  <c r="R88" i="57"/>
  <c r="S88" i="57"/>
  <c r="Q80" i="57"/>
  <c r="I68" i="57"/>
  <c r="R94" i="57"/>
  <c r="S94" i="57"/>
  <c r="T107" i="57"/>
  <c r="I67" i="57"/>
  <c r="Q79" i="57"/>
  <c r="I66" i="57"/>
  <c r="Q78" i="57"/>
  <c r="I72" i="57"/>
  <c r="Q84" i="57"/>
  <c r="T106" i="57"/>
  <c r="I73" i="57"/>
  <c r="Q85" i="57"/>
  <c r="T100" i="57"/>
  <c r="T110" i="57"/>
  <c r="T102" i="57"/>
  <c r="T108" i="57"/>
  <c r="I69" i="57"/>
  <c r="Q81" i="57"/>
  <c r="R89" i="57"/>
  <c r="S89" i="57"/>
  <c r="I74" i="57"/>
  <c r="Q86" i="57"/>
  <c r="S95" i="57"/>
  <c r="R95" i="57"/>
  <c r="T99" i="57"/>
  <c r="I63" i="57"/>
  <c r="Q75" i="57"/>
  <c r="S87" i="57"/>
  <c r="Q173" i="57"/>
  <c r="R87" i="57"/>
  <c r="Q74" i="57" l="1"/>
  <c r="I62" i="57"/>
  <c r="I53" i="57"/>
  <c r="Q65" i="57"/>
  <c r="T93" i="57"/>
  <c r="T98" i="57"/>
  <c r="I60" i="57"/>
  <c r="Q72" i="57"/>
  <c r="I54" i="57"/>
  <c r="Q66" i="57"/>
  <c r="R85" i="57"/>
  <c r="S85" i="57"/>
  <c r="R79" i="57"/>
  <c r="S79" i="57"/>
  <c r="T94" i="57"/>
  <c r="T92" i="57"/>
  <c r="S77" i="57"/>
  <c r="R77" i="57"/>
  <c r="T91" i="57"/>
  <c r="R80" i="57"/>
  <c r="S80" i="57"/>
  <c r="T89" i="57"/>
  <c r="S81" i="57"/>
  <c r="R81" i="57"/>
  <c r="T88" i="57"/>
  <c r="T95" i="57"/>
  <c r="I57" i="57"/>
  <c r="Q69" i="57"/>
  <c r="Q73" i="57"/>
  <c r="I61" i="57"/>
  <c r="Q67" i="57"/>
  <c r="I55" i="57"/>
  <c r="Q64" i="57"/>
  <c r="I52" i="57"/>
  <c r="S83" i="57"/>
  <c r="R83" i="57"/>
  <c r="T97" i="57"/>
  <c r="T96" i="57"/>
  <c r="S82" i="57"/>
  <c r="R82" i="57"/>
  <c r="S173" i="57"/>
  <c r="R86" i="57"/>
  <c r="S86" i="57"/>
  <c r="R84" i="57"/>
  <c r="S84" i="57"/>
  <c r="R78" i="57"/>
  <c r="S78" i="57"/>
  <c r="Q68" i="57"/>
  <c r="I56" i="57"/>
  <c r="S76" i="57"/>
  <c r="R76" i="57"/>
  <c r="Q71" i="57"/>
  <c r="I59" i="57"/>
  <c r="T90" i="57"/>
  <c r="Q70" i="57"/>
  <c r="I58" i="57"/>
  <c r="T87" i="57"/>
  <c r="S75" i="57"/>
  <c r="R75" i="57"/>
  <c r="Q172" i="57"/>
  <c r="I51" i="57"/>
  <c r="Q63" i="57"/>
  <c r="T19" i="11"/>
  <c r="S172" i="57" l="1"/>
  <c r="T82" i="57"/>
  <c r="T83" i="57"/>
  <c r="S68" i="57"/>
  <c r="R68" i="57"/>
  <c r="R64" i="57"/>
  <c r="S64" i="57"/>
  <c r="R67" i="57"/>
  <c r="S67" i="57"/>
  <c r="R73" i="57"/>
  <c r="S73" i="57"/>
  <c r="I45" i="57"/>
  <c r="Q57" i="57"/>
  <c r="T77" i="57"/>
  <c r="R66" i="57"/>
  <c r="S66" i="57"/>
  <c r="S65" i="57"/>
  <c r="R65" i="57"/>
  <c r="I46" i="57"/>
  <c r="Q58" i="57"/>
  <c r="I47" i="57"/>
  <c r="Q59" i="57"/>
  <c r="T84" i="57"/>
  <c r="T80" i="57"/>
  <c r="Q54" i="57"/>
  <c r="I42" i="57"/>
  <c r="Q53" i="57"/>
  <c r="I41" i="57"/>
  <c r="T81" i="57"/>
  <c r="S72" i="57"/>
  <c r="R72" i="57"/>
  <c r="Q62" i="57"/>
  <c r="I50" i="57"/>
  <c r="R70" i="57"/>
  <c r="S70" i="57"/>
  <c r="S71" i="57"/>
  <c r="R71" i="57"/>
  <c r="T76" i="57"/>
  <c r="Q56" i="57"/>
  <c r="I44" i="57"/>
  <c r="T78" i="57"/>
  <c r="T86" i="57"/>
  <c r="I40" i="57"/>
  <c r="Q52" i="57"/>
  <c r="I43" i="57"/>
  <c r="Q55" i="57"/>
  <c r="Q61" i="57"/>
  <c r="I49" i="57"/>
  <c r="R69" i="57"/>
  <c r="S69" i="57"/>
  <c r="T79" i="57"/>
  <c r="T85" i="57"/>
  <c r="I48" i="57"/>
  <c r="Q60" i="57"/>
  <c r="S74" i="57"/>
  <c r="R74" i="57"/>
  <c r="I39" i="57"/>
  <c r="Q51" i="57"/>
  <c r="T75" i="57"/>
  <c r="S63" i="57"/>
  <c r="R63" i="57"/>
  <c r="Q171" i="57"/>
  <c r="N63" i="11"/>
  <c r="N64" i="11" s="1"/>
  <c r="N48" i="11"/>
  <c r="T69" i="57" l="1"/>
  <c r="R55" i="57"/>
  <c r="S55" i="57"/>
  <c r="I32" i="57"/>
  <c r="Q44" i="57"/>
  <c r="T70" i="57"/>
  <c r="R57" i="57"/>
  <c r="S57" i="57"/>
  <c r="T67" i="57"/>
  <c r="S171" i="57"/>
  <c r="T74" i="57"/>
  <c r="I31" i="57"/>
  <c r="Q43" i="57"/>
  <c r="S56" i="57"/>
  <c r="R56" i="57"/>
  <c r="T71" i="57"/>
  <c r="T72" i="57"/>
  <c r="T65" i="57"/>
  <c r="Q45" i="57"/>
  <c r="I33" i="57"/>
  <c r="T68" i="57"/>
  <c r="I37" i="57"/>
  <c r="Q49" i="57"/>
  <c r="R52" i="57"/>
  <c r="S52" i="57"/>
  <c r="I38" i="57"/>
  <c r="Q50" i="57"/>
  <c r="I29" i="57"/>
  <c r="Q41" i="57"/>
  <c r="I30" i="57"/>
  <c r="Q42" i="57"/>
  <c r="S59" i="57"/>
  <c r="R59" i="57"/>
  <c r="R58" i="57"/>
  <c r="S58" i="57"/>
  <c r="T66" i="57"/>
  <c r="T73" i="57"/>
  <c r="T64" i="57"/>
  <c r="R60" i="57"/>
  <c r="S60" i="57"/>
  <c r="I36" i="57"/>
  <c r="Q48" i="57"/>
  <c r="R61" i="57"/>
  <c r="S61" i="57"/>
  <c r="I28" i="57"/>
  <c r="Q40" i="57"/>
  <c r="R62" i="57"/>
  <c r="S62" i="57"/>
  <c r="R53" i="57"/>
  <c r="S53" i="57"/>
  <c r="R54" i="57"/>
  <c r="S54" i="57"/>
  <c r="I35" i="57"/>
  <c r="Q47" i="57"/>
  <c r="I34" i="57"/>
  <c r="Q46" i="57"/>
  <c r="R51" i="57"/>
  <c r="S51" i="57"/>
  <c r="Q170" i="57"/>
  <c r="T63" i="57"/>
  <c r="I27" i="57"/>
  <c r="Q39" i="57"/>
  <c r="N59" i="11"/>
  <c r="S170" i="57" l="1"/>
  <c r="T54" i="57"/>
  <c r="S40" i="57"/>
  <c r="R40" i="57"/>
  <c r="R47" i="57"/>
  <c r="S47" i="57"/>
  <c r="T53" i="57"/>
  <c r="T62" i="57"/>
  <c r="Q35" i="57"/>
  <c r="I23" i="57"/>
  <c r="I24" i="57"/>
  <c r="Q36" i="57"/>
  <c r="T59" i="57"/>
  <c r="I18" i="57"/>
  <c r="Q30" i="57"/>
  <c r="I25" i="57"/>
  <c r="Q37" i="57"/>
  <c r="R45" i="57"/>
  <c r="S45" i="57"/>
  <c r="T56" i="57"/>
  <c r="Q31" i="57"/>
  <c r="I19" i="57"/>
  <c r="T57" i="57"/>
  <c r="T55" i="57"/>
  <c r="R46" i="57"/>
  <c r="S46" i="57"/>
  <c r="T58" i="57"/>
  <c r="R41" i="57"/>
  <c r="S41" i="57"/>
  <c r="R50" i="57"/>
  <c r="S50" i="57"/>
  <c r="T52" i="57"/>
  <c r="I22" i="57"/>
  <c r="Q34" i="57"/>
  <c r="I16" i="57"/>
  <c r="Q28" i="57"/>
  <c r="Q29" i="57"/>
  <c r="I17" i="57"/>
  <c r="I26" i="57"/>
  <c r="Q38" i="57"/>
  <c r="S44" i="57"/>
  <c r="R44" i="57"/>
  <c r="T61" i="57"/>
  <c r="S48" i="57"/>
  <c r="R48" i="57"/>
  <c r="T60" i="57"/>
  <c r="S42" i="57"/>
  <c r="R42" i="57"/>
  <c r="R49" i="57"/>
  <c r="S49" i="57"/>
  <c r="I21" i="57"/>
  <c r="Q33" i="57"/>
  <c r="R43" i="57"/>
  <c r="S43" i="57"/>
  <c r="I20" i="57"/>
  <c r="Q32" i="57"/>
  <c r="Q169" i="57"/>
  <c r="R39" i="57"/>
  <c r="S39" i="57"/>
  <c r="T51" i="57"/>
  <c r="I15" i="57"/>
  <c r="Q27" i="57"/>
  <c r="S169" i="57" l="1"/>
  <c r="T50" i="57"/>
  <c r="T46" i="57"/>
  <c r="I8" i="57"/>
  <c r="Q8" i="57" s="1"/>
  <c r="Q20" i="57"/>
  <c r="T48" i="57"/>
  <c r="T41" i="57"/>
  <c r="R30" i="57"/>
  <c r="S30" i="57"/>
  <c r="Q23" i="57"/>
  <c r="I11" i="57"/>
  <c r="Q11" i="57" s="1"/>
  <c r="R38" i="57"/>
  <c r="S38" i="57"/>
  <c r="S28" i="57"/>
  <c r="R28" i="57"/>
  <c r="S34" i="57"/>
  <c r="R34" i="57"/>
  <c r="S33" i="57"/>
  <c r="R33" i="57"/>
  <c r="T49" i="57"/>
  <c r="T44" i="57"/>
  <c r="I14" i="57"/>
  <c r="Q14" i="57" s="1"/>
  <c r="Q26" i="57"/>
  <c r="I4" i="57"/>
  <c r="Q4" i="57" s="1"/>
  <c r="Q16" i="57"/>
  <c r="Q22" i="57"/>
  <c r="I10" i="57"/>
  <c r="Q10" i="57" s="1"/>
  <c r="Q18" i="57"/>
  <c r="I6" i="57"/>
  <c r="Q6" i="57" s="1"/>
  <c r="S35" i="57"/>
  <c r="R35" i="57"/>
  <c r="T40" i="57"/>
  <c r="I9" i="57"/>
  <c r="Q9" i="57" s="1"/>
  <c r="Q21" i="57"/>
  <c r="T42" i="57"/>
  <c r="I5" i="57"/>
  <c r="Q5" i="57" s="1"/>
  <c r="Q17" i="57"/>
  <c r="Q19" i="57"/>
  <c r="I7" i="57"/>
  <c r="Q7" i="57" s="1"/>
  <c r="T45" i="57"/>
  <c r="S37" i="57"/>
  <c r="R37" i="57"/>
  <c r="S36" i="57"/>
  <c r="R36" i="57"/>
  <c r="T47" i="57"/>
  <c r="S32" i="57"/>
  <c r="R32" i="57"/>
  <c r="T43" i="57"/>
  <c r="S29" i="57"/>
  <c r="R29" i="57"/>
  <c r="R31" i="57"/>
  <c r="S31" i="57"/>
  <c r="I13" i="57"/>
  <c r="Q13" i="57" s="1"/>
  <c r="Q25" i="57"/>
  <c r="I12" i="57"/>
  <c r="Q12" i="57" s="1"/>
  <c r="Q24" i="57"/>
  <c r="I3" i="57"/>
  <c r="Q3" i="57" s="1"/>
  <c r="Q15" i="57"/>
  <c r="T39" i="57"/>
  <c r="R27" i="57"/>
  <c r="S27" i="57"/>
  <c r="Q168" i="57"/>
  <c r="R17" i="57" l="1"/>
  <c r="S17" i="57"/>
  <c r="S10" i="57"/>
  <c r="R10" i="57"/>
  <c r="T34" i="57"/>
  <c r="S25" i="57"/>
  <c r="R25" i="57"/>
  <c r="T36" i="57"/>
  <c r="S5" i="57"/>
  <c r="R5" i="57"/>
  <c r="S22" i="57"/>
  <c r="R22" i="57"/>
  <c r="T38" i="57"/>
  <c r="R11" i="57"/>
  <c r="S11" i="57"/>
  <c r="T30" i="57"/>
  <c r="R20" i="57"/>
  <c r="S20" i="57"/>
  <c r="R12" i="57"/>
  <c r="S12" i="57"/>
  <c r="S13" i="57"/>
  <c r="R13" i="57"/>
  <c r="S7" i="57"/>
  <c r="R7" i="57"/>
  <c r="S21" i="57"/>
  <c r="R21" i="57"/>
  <c r="R6" i="57"/>
  <c r="S6" i="57"/>
  <c r="S16" i="57"/>
  <c r="R16" i="57"/>
  <c r="R26" i="57"/>
  <c r="S26" i="57"/>
  <c r="T28" i="57"/>
  <c r="S23" i="57"/>
  <c r="R23" i="57"/>
  <c r="S8" i="57"/>
  <c r="R8" i="57"/>
  <c r="T29" i="57"/>
  <c r="T32" i="57"/>
  <c r="S168" i="57"/>
  <c r="S24" i="57"/>
  <c r="R24" i="57"/>
  <c r="T31" i="57"/>
  <c r="T37" i="57"/>
  <c r="R19" i="57"/>
  <c r="S19" i="57"/>
  <c r="S9" i="57"/>
  <c r="R9" i="57"/>
  <c r="T35" i="57"/>
  <c r="S18" i="57"/>
  <c r="R18" i="57"/>
  <c r="R4" i="57"/>
  <c r="S4" i="57"/>
  <c r="R14" i="57"/>
  <c r="S14" i="57"/>
  <c r="T33" i="57"/>
  <c r="T27" i="57"/>
  <c r="S15" i="57"/>
  <c r="Q167" i="57"/>
  <c r="R15" i="57"/>
  <c r="R3" i="57"/>
  <c r="S3" i="57"/>
  <c r="Q166" i="57"/>
  <c r="S167" i="57" l="1"/>
  <c r="S166" i="57"/>
  <c r="T12" i="57"/>
  <c r="T11" i="57"/>
  <c r="T14" i="57"/>
  <c r="T19" i="57"/>
  <c r="T18" i="57"/>
  <c r="T9" i="57"/>
  <c r="T23" i="57"/>
  <c r="T16" i="57"/>
  <c r="T21" i="57"/>
  <c r="T22" i="57"/>
  <c r="T25" i="57"/>
  <c r="T26" i="57"/>
  <c r="T6" i="57"/>
  <c r="T20" i="57"/>
  <c r="T17" i="57"/>
  <c r="T4" i="57"/>
  <c r="T24" i="57"/>
  <c r="T8" i="57"/>
  <c r="T7" i="57"/>
  <c r="T13" i="57"/>
  <c r="T5" i="57"/>
  <c r="T10" i="57"/>
  <c r="T3" i="57"/>
  <c r="T15" i="57"/>
  <c r="J23" i="9" l="1"/>
  <c r="O45" i="11" l="1"/>
  <c r="O48" i="11" l="1"/>
  <c r="O63" i="11"/>
  <c r="O64" i="11" s="1"/>
  <c r="O59" i="11" l="1"/>
  <c r="E23" i="9" l="1"/>
  <c r="E22" i="9"/>
  <c r="O20" i="11" l="1"/>
  <c r="N20" i="11"/>
  <c r="T20" i="11" l="1"/>
  <c r="O50" i="11" l="1"/>
  <c r="N50" i="11"/>
  <c r="T21" i="11"/>
  <c r="O61" i="11" l="1"/>
  <c r="N61" i="11"/>
  <c r="B18" i="9" l="1"/>
  <c r="D23" i="9"/>
  <c r="D22" i="9"/>
  <c r="B17" i="9"/>
  <c r="N16" i="11" l="1"/>
  <c r="N49" i="11" s="1"/>
  <c r="B22" i="9"/>
  <c r="O16" i="11"/>
  <c r="B23" i="9"/>
  <c r="O49" i="11" l="1"/>
  <c r="O54" i="11"/>
  <c r="O7" i="11"/>
  <c r="N54" i="11"/>
  <c r="N60" i="11" s="1"/>
  <c r="N7" i="11"/>
  <c r="O60" i="11" l="1"/>
</calcChain>
</file>

<file path=xl/sharedStrings.xml><?xml version="1.0" encoding="utf-8"?>
<sst xmlns="http://schemas.openxmlformats.org/spreadsheetml/2006/main" count="305" uniqueCount="101">
  <si>
    <t>Residential_count</t>
  </si>
  <si>
    <t>MonthDays</t>
  </si>
  <si>
    <t>Sep</t>
  </si>
  <si>
    <t>Shoulder</t>
  </si>
  <si>
    <t>COVID</t>
  </si>
  <si>
    <t>HDD16</t>
  </si>
  <si>
    <t>CDD16</t>
  </si>
  <si>
    <t>Sept</t>
  </si>
  <si>
    <t>coefficient</t>
  </si>
  <si>
    <t>std. error</t>
  </si>
  <si>
    <t>t-ratio</t>
  </si>
  <si>
    <t>p-value</t>
  </si>
  <si>
    <t>const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</si>
  <si>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</si>
  <si>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</si>
  <si>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</si>
  <si>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</si>
  <si>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</si>
  <si>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</si>
  <si>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</si>
  <si>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</si>
  <si>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rho</t>
  </si>
  <si>
    <t>Durbin-Watson</t>
  </si>
  <si>
    <t>Milton Hydro Weather Normal Customer Class Load Forecast for 2023 Rate Application</t>
  </si>
  <si>
    <t>Description</t>
  </si>
  <si>
    <t xml:space="preserve">2011 Actual </t>
  </si>
  <si>
    <t xml:space="preserve">2012 Actual </t>
  </si>
  <si>
    <t xml:space="preserve">2013 Actual 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</si>
  <si>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</si>
  <si>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</si>
  <si>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</si>
  <si>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</si>
  <si>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</si>
  <si>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</si>
  <si>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 xml:space="preserve">2020 Actual </t>
  </si>
  <si>
    <t xml:space="preserve">2021 Actual </t>
  </si>
  <si>
    <t>2022 Bridge Year</t>
  </si>
  <si>
    <t>2023 Test Year</t>
  </si>
  <si>
    <t>Actual kWh Purchases</t>
  </si>
  <si>
    <t>Predicted kWh Purchases</t>
  </si>
  <si>
    <t>% Difference</t>
  </si>
  <si>
    <t>Total kWh</t>
  </si>
  <si>
    <t>By Class</t>
  </si>
  <si>
    <t xml:space="preserve">  Customers</t>
  </si>
  <si>
    <t xml:space="preserve">  kWh</t>
  </si>
  <si>
    <t xml:space="preserve">  kW</t>
  </si>
  <si>
    <t>General Service 1000 to 4999 kW</t>
  </si>
  <si>
    <t xml:space="preserve">  Connections</t>
  </si>
  <si>
    <t>Total of Above</t>
  </si>
  <si>
    <t xml:space="preserve">  Customer/Connections</t>
  </si>
  <si>
    <t xml:space="preserve">  kW from applicable classes</t>
  </si>
  <si>
    <t>Total from Model</t>
  </si>
  <si>
    <t>Check should all be zero</t>
  </si>
  <si>
    <t>Metered Customers</t>
  </si>
  <si>
    <t>Large User</t>
  </si>
  <si>
    <t>Sentinel Lights</t>
  </si>
  <si>
    <t>Residential forecast</t>
  </si>
  <si>
    <t>Used</t>
  </si>
  <si>
    <t>CDM</t>
  </si>
  <si>
    <t>Used + CDM</t>
  </si>
  <si>
    <t>Number of Days in Month</t>
  </si>
  <si>
    <t>Spring Fall Flag</t>
  </si>
  <si>
    <t>Number of Customers</t>
  </si>
  <si>
    <t>Predicted Consumption + CDM</t>
  </si>
  <si>
    <t>Predicted Consumption</t>
  </si>
  <si>
    <t>Variances (kWh)</t>
  </si>
  <si>
    <t>% Variance</t>
  </si>
  <si>
    <t>SUMMARY OUTPUT</t>
  </si>
  <si>
    <t>Model 47: Prais-Winsten, using observations 2011:01-2021:12 (T = 132)</t>
  </si>
  <si>
    <t>Dependent variable: Res_NoCDM</t>
  </si>
  <si>
    <t>rho = -0.082067</t>
  </si>
  <si>
    <t>COVIDHDD16</t>
  </si>
  <si>
    <t>COVIDCDD16</t>
  </si>
  <si>
    <t>F(8, 123)</t>
  </si>
  <si>
    <t>10 Yr Avge</t>
  </si>
  <si>
    <t>Weather Normal</t>
  </si>
  <si>
    <t>Purchases</t>
  </si>
  <si>
    <t>Predicted + CDM</t>
  </si>
  <si>
    <t>Predicted</t>
  </si>
  <si>
    <t>F(6, 125)</t>
  </si>
  <si>
    <t>Actual and Modeled Used</t>
  </si>
  <si>
    <t xml:space="preserve">Residential </t>
  </si>
  <si>
    <r>
      <t xml:space="preserve">General Service </t>
    </r>
    <r>
      <rPr>
        <b/>
        <u/>
        <sz val="10"/>
        <rFont val="Arial"/>
        <family val="2"/>
      </rPr>
      <t>&lt; 50 kW</t>
    </r>
  </si>
  <si>
    <r>
      <t xml:space="preserve">General Service </t>
    </r>
    <r>
      <rPr>
        <b/>
        <u/>
        <sz val="10"/>
        <rFont val="Arial"/>
        <family val="2"/>
      </rPr>
      <t xml:space="preserve"> 50 to 999 kW</t>
    </r>
  </si>
  <si>
    <r>
      <t xml:space="preserve">General Service </t>
    </r>
    <r>
      <rPr>
        <b/>
        <u/>
        <sz val="10"/>
        <rFont val="Arial"/>
        <family val="2"/>
      </rPr>
      <t>1000 to 4999 kW</t>
    </r>
  </si>
  <si>
    <t xml:space="preserve">Streetlights </t>
  </si>
  <si>
    <t xml:space="preserve">Unmetered Loads </t>
  </si>
  <si>
    <t>CDM Adjustment</t>
  </si>
  <si>
    <t>CDM-Adjusted Forecast</t>
  </si>
  <si>
    <t>Average Usage Per Customer</t>
  </si>
  <si>
    <t>Normal HDD</t>
  </si>
  <si>
    <t>Normal CDD</t>
  </si>
  <si>
    <t>WN Consumption + CDM</t>
  </si>
  <si>
    <t>WN Consumption</t>
  </si>
  <si>
    <t>Forecast CDM</t>
  </si>
  <si>
    <t>Predicted After CDM</t>
  </si>
  <si>
    <t>Residential Weather Normalized</t>
  </si>
  <si>
    <t>Residential Weather Normalized (20-year Trend)</t>
  </si>
  <si>
    <t>Model 1: Prais-Winsten, using observations 2011:01-2021:12 (T = 132)</t>
  </si>
  <si>
    <t>rho = 0.339247</t>
  </si>
  <si>
    <t>As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</si>
</sst>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0.0%"/>
    <numFmt numFmtId="166" formatCode="#,##0;\(#,##0\)"/>
    <numFmt numFmtId="167" formatCode="_(* #,##0_);_(* \(#,##0\);_(* &quot;-&quot;??_);_(@_)"/>
    <numFmt numFmtId="168" formatCode="0.0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1" fontId="0" fillId="0" borderId="0" xfId="0" applyNumberFormat="1"/>
    <xf numFmtId="0" fontId="4" fillId="0" borderId="0" xfId="0" applyFont="1"/>
    <xf numFmtId="17" fontId="4" fillId="0" borderId="0" xfId="0" applyNumberFormat="1" applyFont="1"/>
    <xf numFmtId="3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0" xfId="0" applyFont="1"/>
    <xf numFmtId="3" fontId="0" fillId="0" borderId="0" xfId="0" applyNumberFormat="1"/>
    <xf numFmtId="10" fontId="0" fillId="0" borderId="0" xfId="2" applyNumberFormat="1" applyFont="1" applyFill="1" applyAlignment="1">
      <alignment horizontal="center" wrapText="1"/>
    </xf>
    <xf numFmtId="37" fontId="1" fillId="0" borderId="0" xfId="0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3" fontId="1" fillId="0" borderId="0" xfId="0" quotePrefix="1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167" fontId="0" fillId="0" borderId="0" xfId="1" applyNumberFormat="1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8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8" fillId="3" borderId="0" xfId="0" applyNumberFormat="1" applyFont="1" applyFill="1" applyAlignment="1">
      <alignment horizontal="center" wrapText="1"/>
    </xf>
    <xf numFmtId="3" fontId="0" fillId="4" borderId="0" xfId="0" applyNumberFormat="1" applyFill="1" applyAlignment="1">
      <alignment horizontal="center"/>
    </xf>
    <xf numFmtId="10" fontId="1" fillId="0" borderId="0" xfId="2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168" fontId="1" fillId="0" borderId="0" xfId="0" quotePrefix="1" applyNumberFormat="1" applyFont="1" applyAlignment="1">
      <alignment horizontal="right"/>
    </xf>
    <xf numFmtId="167" fontId="4" fillId="0" borderId="0" xfId="1" applyNumberFormat="1" applyFont="1" applyFill="1" applyAlignment="1">
      <alignment horizontal="center"/>
    </xf>
    <xf numFmtId="167" fontId="0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 wrapText="1"/>
    </xf>
    <xf numFmtId="167" fontId="1" fillId="0" borderId="0" xfId="1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168" fontId="0" fillId="0" borderId="0" xfId="0" applyNumberFormat="1" applyAlignment="1">
      <alignment horizontal="center"/>
    </xf>
    <xf numFmtId="167" fontId="0" fillId="0" borderId="0" xfId="0" applyNumberFormat="1"/>
    <xf numFmtId="3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NumberFormat="1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1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vertical="center" wrapText="1"/>
    </xf>
    <xf numFmtId="3" fontId="0" fillId="0" borderId="0" xfId="0" applyNumberForma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" fontId="0" fillId="0" borderId="0" xfId="0" applyNumberFormat="1" applyAlignment="1">
      <alignment horizontal="right"/>
    </xf>
    <xf numFmtId="11" fontId="0" fillId="0" borderId="0" xfId="0" applyNumberFormat="1"/>
    <xf numFmtId="167" fontId="1" fillId="0" borderId="0" xfId="1" applyNumberFormat="1" applyFont="1" applyAlignment="1">
      <alignment horizontal="center" wrapText="1"/>
    </xf>
    <xf numFmtId="1" fontId="11" fillId="0" borderId="0" xfId="0" applyNumberFormat="1" applyFont="1" applyAlignment="1">
      <alignment horizontal="right"/>
    </xf>
    <xf numFmtId="167" fontId="11" fillId="0" borderId="0" xfId="1" applyNumberFormat="1" applyFont="1" applyFill="1" applyAlignment="1">
      <alignment horizontal="right"/>
    </xf>
    <xf numFmtId="17" fontId="1" fillId="0" borderId="0" xfId="0" applyNumberFormat="1" applyFont="1"/>
    <xf numFmtId="167" fontId="1" fillId="0" borderId="0" xfId="1" applyNumberFormat="1" applyFont="1" applyFill="1"/>
    <xf numFmtId="3" fontId="11" fillId="0" borderId="0" xfId="0" applyNumberFormat="1" applyFont="1" applyAlignment="1">
      <alignment horizontal="center"/>
    </xf>
    <xf numFmtId="3" fontId="11" fillId="4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wrapText="1"/>
    </xf>
    <xf numFmtId="37" fontId="11" fillId="0" borderId="0" xfId="0" applyNumberFormat="1" applyFont="1" applyAlignment="1">
      <alignment horizontal="center"/>
    </xf>
    <xf numFmtId="9" fontId="0" fillId="0" borderId="0" xfId="0" applyNumberFormat="1"/>
    <xf numFmtId="0" fontId="0" fillId="0" borderId="0" xfId="0" applyAlignment="1">
      <alignment vertical="center" wrapText="1"/>
    </xf>
    <xf numFmtId="164" fontId="0" fillId="0" borderId="0" xfId="1" applyFont="1" applyAlignment="1">
      <alignment horizontal="center"/>
    </xf>
    <xf numFmtId="168" fontId="1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167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wrapText="1"/>
    </xf>
    <xf numFmtId="0" fontId="0" fillId="0" borderId="0" xfId="1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4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/>
    <xf numFmtId="11" fontId="6" fillId="0" borderId="0" xfId="0" applyNumberFormat="1" applyFont="1"/>
    <xf numFmtId="0" fontId="0" fillId="5" borderId="0" xfId="0" applyFill="1"/>
    <xf numFmtId="11" fontId="0" fillId="5" borderId="0" xfId="0" applyNumberFormat="1" applyFill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8" fillId="3" borderId="0" xfId="0" applyNumberFormat="1" applyFont="1" applyFill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0">
    <cellStyle name="Comma" xfId="1" builtinId="3"/>
    <cellStyle name="Comma 2" xfId="8" xr:uid="{EF5882B1-335E-45C7-97D6-22ECD53FDCE7}"/>
    <cellStyle name="Comma 7" xfId="4" xr:uid="{F2171BE8-FE0D-4151-AC06-417E0E9A208E}"/>
    <cellStyle name="Currency 2" xfId="6" xr:uid="{47EB6405-1F8F-4A9A-B530-6E416911071F}"/>
    <cellStyle name="Normal" xfId="0" builtinId="0"/>
    <cellStyle name="Normal 2" xfId="5" xr:uid="{62805224-4972-45E8-9C46-00119CB5B2E7}"/>
    <cellStyle name="Normal 3" xfId="7" xr:uid="{F077D5C5-407F-4AEC-BD40-1A77A1538494}"/>
    <cellStyle name="Normal 8" xfId="3" xr:uid="{833F5876-D4BD-4158-A3B1-BE7C6C398F86}"/>
    <cellStyle name="Percent" xfId="2" builtinId="5"/>
    <cellStyle name="Percent 2" xfId="9" xr:uid="{A2DC4FC9-AFB9-4DCD-9B28-B18BDD9A4B53}"/>
  </cellStyles>
  <dxfs count="0"/>
  <tableStyles count="0" defaultTableStyle="TableStyleMedium9" defaultPivotStyle="PivotStyleLight16"/>
  <colors>
    <mruColors>
      <color rgb="FFEFF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Residential!$F$2</c:f>
              <c:strCache>
                <c:ptCount val="1"/>
                <c:pt idx="0">
                  <c:v>Used + 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Residential!$A$3:$A$158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Residential!$F$3:$F$134</c:f>
              <c:numCache>
                <c:formatCode>_(* #,##0_);_(* \(#,##0\);_(* "-"??_);_(@_)</c:formatCode>
                <c:ptCount val="132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  <c:pt idx="126">
                  <c:v>38735837.196242042</c:v>
                </c:pt>
                <c:pt idx="127">
                  <c:v>41745442.979374558</c:v>
                </c:pt>
                <c:pt idx="128">
                  <c:v>32346777.91913363</c:v>
                </c:pt>
                <c:pt idx="129">
                  <c:v>26082700.328772265</c:v>
                </c:pt>
                <c:pt idx="130">
                  <c:v>24396798.073350474</c:v>
                </c:pt>
                <c:pt idx="131">
                  <c:v>30009614.776964936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A-42E0-8C62-DBE4C20DEEB5}"/>
            </c:ext>
          </c:extLst>
        </c:ser>
        <c:ser>
          <c:idx val="1"/>
          <c:order val="1"/>
          <c:tx>
            <c:strRef>
              <c:f>Residential!$O$2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Residential!$A$3:$A$158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Residential!$O$3:$O$158</c:f>
              <c:numCache>
                <c:formatCode>#,##0_);\(#,##0\)</c:formatCode>
                <c:ptCount val="156"/>
                <c:pt idx="0">
                  <c:v>23951768.666691147</c:v>
                </c:pt>
                <c:pt idx="1">
                  <c:v>20807316.510680657</c:v>
                </c:pt>
                <c:pt idx="2">
                  <c:v>19066530.70328851</c:v>
                </c:pt>
                <c:pt idx="3">
                  <c:v>16550616.374361334</c:v>
                </c:pt>
                <c:pt idx="4">
                  <c:v>17468581.555574123</c:v>
                </c:pt>
                <c:pt idx="5">
                  <c:v>23216974.275018174</c:v>
                </c:pt>
                <c:pt idx="6">
                  <c:v>32443239.122550897</c:v>
                </c:pt>
                <c:pt idx="7">
                  <c:v>28518798.654584959</c:v>
                </c:pt>
                <c:pt idx="8">
                  <c:v>20518788.860714719</c:v>
                </c:pt>
                <c:pt idx="9">
                  <c:v>17558323.955853842</c:v>
                </c:pt>
                <c:pt idx="10">
                  <c:v>17254667.784205966</c:v>
                </c:pt>
                <c:pt idx="11">
                  <c:v>22999686.890811007</c:v>
                </c:pt>
                <c:pt idx="12">
                  <c:v>23704946.462816171</c:v>
                </c:pt>
                <c:pt idx="13">
                  <c:v>21723336.523143943</c:v>
                </c:pt>
                <c:pt idx="14">
                  <c:v>18693179.333681267</c:v>
                </c:pt>
                <c:pt idx="15">
                  <c:v>17822109.582966078</c:v>
                </c:pt>
                <c:pt idx="16">
                  <c:v>20339751.367643554</c:v>
                </c:pt>
                <c:pt idx="17">
                  <c:v>27176055.909351327</c:v>
                </c:pt>
                <c:pt idx="18">
                  <c:v>33649166.526792616</c:v>
                </c:pt>
                <c:pt idx="19">
                  <c:v>29258373.304170981</c:v>
                </c:pt>
                <c:pt idx="20">
                  <c:v>21274987.600166138</c:v>
                </c:pt>
                <c:pt idx="21">
                  <c:v>18672476.422689091</c:v>
                </c:pt>
                <c:pt idx="22">
                  <c:v>19190962.124832533</c:v>
                </c:pt>
                <c:pt idx="23">
                  <c:v>24311759.357961707</c:v>
                </c:pt>
                <c:pt idx="24">
                  <c:v>25169568.405975018</c:v>
                </c:pt>
                <c:pt idx="25">
                  <c:v>23088326.179174118</c:v>
                </c:pt>
                <c:pt idx="26">
                  <c:v>21494573.950880773</c:v>
                </c:pt>
                <c:pt idx="27">
                  <c:v>19448810.25871003</c:v>
                </c:pt>
                <c:pt idx="28">
                  <c:v>21027130.540888682</c:v>
                </c:pt>
                <c:pt idx="29">
                  <c:v>26110085.497892577</c:v>
                </c:pt>
                <c:pt idx="30">
                  <c:v>31863910.776195474</c:v>
                </c:pt>
                <c:pt idx="31">
                  <c:v>29611446.655460082</c:v>
                </c:pt>
                <c:pt idx="32">
                  <c:v>22071789.297560256</c:v>
                </c:pt>
                <c:pt idx="33">
                  <c:v>19923138.281304102</c:v>
                </c:pt>
                <c:pt idx="34">
                  <c:v>20892341.730826866</c:v>
                </c:pt>
                <c:pt idx="35">
                  <c:v>26738691.747895576</c:v>
                </c:pt>
                <c:pt idx="36">
                  <c:v>27806141.359717693</c:v>
                </c:pt>
                <c:pt idx="37">
                  <c:v>24890034.735058695</c:v>
                </c:pt>
                <c:pt idx="38">
                  <c:v>23339315.599054575</c:v>
                </c:pt>
                <c:pt idx="39">
                  <c:v>20052556.107214119</c:v>
                </c:pt>
                <c:pt idx="40">
                  <c:v>20461598.604590744</c:v>
                </c:pt>
                <c:pt idx="41">
                  <c:v>27482517.598324891</c:v>
                </c:pt>
                <c:pt idx="42">
                  <c:v>29011148.186614685</c:v>
                </c:pt>
                <c:pt idx="43">
                  <c:v>29443312.92901884</c:v>
                </c:pt>
                <c:pt idx="44">
                  <c:v>23335851.094870463</c:v>
                </c:pt>
                <c:pt idx="45">
                  <c:v>20712693.678554401</c:v>
                </c:pt>
                <c:pt idx="46">
                  <c:v>21641164.901112128</c:v>
                </c:pt>
                <c:pt idx="47">
                  <c:v>26446802.323154278</c:v>
                </c:pt>
                <c:pt idx="48">
                  <c:v>28300170.62340105</c:v>
                </c:pt>
                <c:pt idx="49">
                  <c:v>26608106.318386339</c:v>
                </c:pt>
                <c:pt idx="50">
                  <c:v>23642141.013233732</c:v>
                </c:pt>
                <c:pt idx="51">
                  <c:v>20646907.570241757</c:v>
                </c:pt>
                <c:pt idx="52">
                  <c:v>23259035.730630238</c:v>
                </c:pt>
                <c:pt idx="53">
                  <c:v>26142114.754289057</c:v>
                </c:pt>
                <c:pt idx="54">
                  <c:v>32021280.505708121</c:v>
                </c:pt>
                <c:pt idx="55">
                  <c:v>30688642.572002001</c:v>
                </c:pt>
                <c:pt idx="56">
                  <c:v>27137302.863748789</c:v>
                </c:pt>
                <c:pt idx="57">
                  <c:v>21298467.229909103</c:v>
                </c:pt>
                <c:pt idx="58">
                  <c:v>21137710.362795971</c:v>
                </c:pt>
                <c:pt idx="59">
                  <c:v>26011503.942464948</c:v>
                </c:pt>
                <c:pt idx="60">
                  <c:v>27899555.936894018</c:v>
                </c:pt>
                <c:pt idx="61">
                  <c:v>25853926.76227697</c:v>
                </c:pt>
                <c:pt idx="62">
                  <c:v>23121116.435309075</c:v>
                </c:pt>
                <c:pt idx="63">
                  <c:v>21896689.973952439</c:v>
                </c:pt>
                <c:pt idx="64">
                  <c:v>23980978.86271951</c:v>
                </c:pt>
                <c:pt idx="65">
                  <c:v>29625147.253945146</c:v>
                </c:pt>
                <c:pt idx="66">
                  <c:v>36086349.148568392</c:v>
                </c:pt>
                <c:pt idx="67">
                  <c:v>37101543.240568228</c:v>
                </c:pt>
                <c:pt idx="68">
                  <c:v>27105991.896283992</c:v>
                </c:pt>
                <c:pt idx="69">
                  <c:v>22287642.524561655</c:v>
                </c:pt>
                <c:pt idx="70">
                  <c:v>21721519.624712545</c:v>
                </c:pt>
                <c:pt idx="71">
                  <c:v>28003543.604337748</c:v>
                </c:pt>
                <c:pt idx="72">
                  <c:v>28031761.605230484</c:v>
                </c:pt>
                <c:pt idx="73">
                  <c:v>25069521.633967914</c:v>
                </c:pt>
                <c:pt idx="74">
                  <c:v>24409917.76605339</c:v>
                </c:pt>
                <c:pt idx="75">
                  <c:v>21439033.634106979</c:v>
                </c:pt>
                <c:pt idx="76">
                  <c:v>22647973.820129253</c:v>
                </c:pt>
                <c:pt idx="77">
                  <c:v>29190573.154870313</c:v>
                </c:pt>
                <c:pt idx="78">
                  <c:v>33524229.094872661</c:v>
                </c:pt>
                <c:pt idx="79">
                  <c:v>30955894.981404923</c:v>
                </c:pt>
                <c:pt idx="80">
                  <c:v>27632052.81416684</c:v>
                </c:pt>
                <c:pt idx="81">
                  <c:v>22769405.386297245</c:v>
                </c:pt>
                <c:pt idx="82">
                  <c:v>23141767.959452379</c:v>
                </c:pt>
                <c:pt idx="83">
                  <c:v>29599082.045501236</c:v>
                </c:pt>
                <c:pt idx="84">
                  <c:v>29740564.201501224</c:v>
                </c:pt>
                <c:pt idx="85">
                  <c:v>26242595.571515329</c:v>
                </c:pt>
                <c:pt idx="86">
                  <c:v>25210199.797872949</c:v>
                </c:pt>
                <c:pt idx="87">
                  <c:v>23694444.847776502</c:v>
                </c:pt>
                <c:pt idx="88">
                  <c:v>25586917.219904698</c:v>
                </c:pt>
                <c:pt idx="89">
                  <c:v>30323755.805083282</c:v>
                </c:pt>
                <c:pt idx="90">
                  <c:v>37344406.197755121</c:v>
                </c:pt>
                <c:pt idx="91">
                  <c:v>37096019.812639445</c:v>
                </c:pt>
                <c:pt idx="92">
                  <c:v>29165086.495003406</c:v>
                </c:pt>
                <c:pt idx="93">
                  <c:v>24628920.560506299</c:v>
                </c:pt>
                <c:pt idx="94">
                  <c:v>24845199.013753645</c:v>
                </c:pt>
                <c:pt idx="95">
                  <c:v>29631579.892229084</c:v>
                </c:pt>
                <c:pt idx="96">
                  <c:v>31192779.12691737</c:v>
                </c:pt>
                <c:pt idx="97">
                  <c:v>27895068.744569007</c:v>
                </c:pt>
                <c:pt idx="98">
                  <c:v>26557117.633875635</c:v>
                </c:pt>
                <c:pt idx="99">
                  <c:v>23992256.845454361</c:v>
                </c:pt>
                <c:pt idx="100">
                  <c:v>23915978.958785444</c:v>
                </c:pt>
                <c:pt idx="101">
                  <c:v>29657399.454068776</c:v>
                </c:pt>
                <c:pt idx="102">
                  <c:v>38182109.743257888</c:v>
                </c:pt>
                <c:pt idx="103">
                  <c:v>34834415.920462243</c:v>
                </c:pt>
                <c:pt idx="104">
                  <c:v>26916050.341351923</c:v>
                </c:pt>
                <c:pt idx="105">
                  <c:v>24653664.977048401</c:v>
                </c:pt>
                <c:pt idx="106">
                  <c:v>25625530.071163941</c:v>
                </c:pt>
                <c:pt idx="107">
                  <c:v>30357338.26436422</c:v>
                </c:pt>
                <c:pt idx="108">
                  <c:v>30536606.619042847</c:v>
                </c:pt>
                <c:pt idx="109">
                  <c:v>29113400.984950412</c:v>
                </c:pt>
                <c:pt idx="110">
                  <c:v>26062289.815967031</c:v>
                </c:pt>
                <c:pt idx="111">
                  <c:v>24609642.830867302</c:v>
                </c:pt>
                <c:pt idx="112">
                  <c:v>26371341.252024718</c:v>
                </c:pt>
                <c:pt idx="113">
                  <c:v>33405115.938421205</c:v>
                </c:pt>
                <c:pt idx="114">
                  <c:v>41204447.293695472</c:v>
                </c:pt>
                <c:pt idx="115">
                  <c:v>36559932.224008799</c:v>
                </c:pt>
                <c:pt idx="116">
                  <c:v>27690274.604967166</c:v>
                </c:pt>
                <c:pt idx="117">
                  <c:v>25054056.03521746</c:v>
                </c:pt>
                <c:pt idx="118">
                  <c:v>24819887.310720094</c:v>
                </c:pt>
                <c:pt idx="119">
                  <c:v>30788067.612616349</c:v>
                </c:pt>
                <c:pt idx="120">
                  <c:v>31371400.03285658</c:v>
                </c:pt>
                <c:pt idx="121">
                  <c:v>29255233.065822896</c:v>
                </c:pt>
                <c:pt idx="122">
                  <c:v>26677373.487899348</c:v>
                </c:pt>
                <c:pt idx="123">
                  <c:v>24778357.733524915</c:v>
                </c:pt>
                <c:pt idx="124">
                  <c:v>26986301.00881796</c:v>
                </c:pt>
                <c:pt idx="125">
                  <c:v>35669972.148525335</c:v>
                </c:pt>
                <c:pt idx="126">
                  <c:v>35957916.60859488</c:v>
                </c:pt>
                <c:pt idx="127">
                  <c:v>39885423.456668124</c:v>
                </c:pt>
                <c:pt idx="128">
                  <c:v>28263641.353092387</c:v>
                </c:pt>
                <c:pt idx="129">
                  <c:v>26100644.660791125</c:v>
                </c:pt>
                <c:pt idx="130">
                  <c:v>25956095.962833405</c:v>
                </c:pt>
                <c:pt idx="131">
                  <c:v>30874532.085885566</c:v>
                </c:pt>
                <c:pt idx="132">
                  <c:v>32311618.218852606</c:v>
                </c:pt>
                <c:pt idx="133">
                  <c:v>29664275.928764552</c:v>
                </c:pt>
                <c:pt idx="134">
                  <c:v>27801720.855248969</c:v>
                </c:pt>
                <c:pt idx="135">
                  <c:v>25670947.688714527</c:v>
                </c:pt>
                <c:pt idx="136">
                  <c:v>27255756.696277045</c:v>
                </c:pt>
                <c:pt idx="137">
                  <c:v>33249688.049013563</c:v>
                </c:pt>
                <c:pt idx="138">
                  <c:v>38621688.681186244</c:v>
                </c:pt>
                <c:pt idx="139">
                  <c:v>37280104.016607225</c:v>
                </c:pt>
                <c:pt idx="140">
                  <c:v>29789429.916935526</c:v>
                </c:pt>
                <c:pt idx="141">
                  <c:v>26309475.032278053</c:v>
                </c:pt>
                <c:pt idx="142">
                  <c:v>26589369.579140723</c:v>
                </c:pt>
                <c:pt idx="143">
                  <c:v>31960934.99388472</c:v>
                </c:pt>
                <c:pt idx="144">
                  <c:v>32875852.315469097</c:v>
                </c:pt>
                <c:pt idx="145">
                  <c:v>30240775.984003138</c:v>
                </c:pt>
                <c:pt idx="146">
                  <c:v>28390486.869109649</c:v>
                </c:pt>
                <c:pt idx="147">
                  <c:v>26271979.661197305</c:v>
                </c:pt>
                <c:pt idx="148">
                  <c:v>27869054.627381917</c:v>
                </c:pt>
                <c:pt idx="149">
                  <c:v>33875251.938740537</c:v>
                </c:pt>
                <c:pt idx="150">
                  <c:v>39259518.529535316</c:v>
                </c:pt>
                <c:pt idx="151">
                  <c:v>37930199.823578387</c:v>
                </c:pt>
                <c:pt idx="152">
                  <c:v>30451791.682528783</c:v>
                </c:pt>
                <c:pt idx="153">
                  <c:v>26984102.756493408</c:v>
                </c:pt>
                <c:pt idx="154">
                  <c:v>27276263.261978172</c:v>
                </c:pt>
                <c:pt idx="155">
                  <c:v>32660094.635344263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3-478E-AD12-98CE46BBD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Summary!$A$10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Summary!$C$12:$O$12</c:f>
              <c:numCache>
                <c:formatCode>#,##0</c:formatCode>
                <c:ptCount val="13"/>
                <c:pt idx="0">
                  <c:v>268725506.51999998</c:v>
                </c:pt>
                <c:pt idx="1">
                  <c:v>281220954.64999998</c:v>
                </c:pt>
                <c:pt idx="2">
                  <c:v>287291133.52999997</c:v>
                </c:pt>
                <c:pt idx="3">
                  <c:v>290591982.63</c:v>
                </c:pt>
                <c:pt idx="4">
                  <c:v>295940879.87469882</c:v>
                </c:pt>
                <c:pt idx="5">
                  <c:v>310749015.99036139</c:v>
                </c:pt>
                <c:pt idx="6">
                  <c:v>294253405.64819276</c:v>
                </c:pt>
                <c:pt idx="7">
                  <c:v>323623192.28915668</c:v>
                </c:pt>
                <c:pt idx="8">
                  <c:v>316413176.16385555</c:v>
                </c:pt>
                <c:pt idx="9">
                  <c:v>353805930.95903623</c:v>
                </c:pt>
                <c:pt idx="10">
                  <c:v>360408160.45301205</c:v>
                </c:pt>
                <c:pt idx="11">
                  <c:v>348780032.95971179</c:v>
                </c:pt>
                <c:pt idx="12">
                  <c:v>356438641.56624091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B5-4223-82AF-17E491D8758E}"/>
            </c:ext>
          </c:extLst>
        </c:ser>
        <c:ser>
          <c:idx val="1"/>
          <c:order val="1"/>
          <c:tx>
            <c:strRef>
              <c:f>Summary!$A$14</c:f>
              <c:strCache>
                <c:ptCount val="1"/>
                <c:pt idx="0">
                  <c:v>General Service &lt; 50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Summary!$C$16:$O$16</c:f>
              <c:numCache>
                <c:formatCode>#,##0</c:formatCode>
                <c:ptCount val="13"/>
                <c:pt idx="0">
                  <c:v>83338833.540000021</c:v>
                </c:pt>
                <c:pt idx="1">
                  <c:v>84168273.069999993</c:v>
                </c:pt>
                <c:pt idx="2">
                  <c:v>87021883.129999995</c:v>
                </c:pt>
                <c:pt idx="3">
                  <c:v>88384426.730000004</c:v>
                </c:pt>
                <c:pt idx="4">
                  <c:v>88333188.626506001</c:v>
                </c:pt>
                <c:pt idx="5">
                  <c:v>88749928.414457858</c:v>
                </c:pt>
                <c:pt idx="6">
                  <c:v>82899471.903614432</c:v>
                </c:pt>
                <c:pt idx="7">
                  <c:v>86093744.838554204</c:v>
                </c:pt>
                <c:pt idx="8">
                  <c:v>83808650.746987954</c:v>
                </c:pt>
                <c:pt idx="9">
                  <c:v>79694764.992771059</c:v>
                </c:pt>
                <c:pt idx="10">
                  <c:v>85479169.763855413</c:v>
                </c:pt>
                <c:pt idx="11">
                  <c:v>85722745.797829658</c:v>
                </c:pt>
                <c:pt idx="12">
                  <c:v>87960137.322178766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B5-4223-82AF-17E491D8758E}"/>
            </c:ext>
          </c:extLst>
        </c:ser>
        <c:ser>
          <c:idx val="2"/>
          <c:order val="2"/>
          <c:tx>
            <c:strRef>
              <c:f>Summary!$A$18</c:f>
              <c:strCache>
                <c:ptCount val="1"/>
                <c:pt idx="0">
                  <c:v>General Service  50 to 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Summary!$C$20:$O$20</c:f>
              <c:numCache>
                <c:formatCode>#,##0</c:formatCode>
                <c:ptCount val="13"/>
                <c:pt idx="0">
                  <c:v>192782769.75999996</c:v>
                </c:pt>
                <c:pt idx="1">
                  <c:v>194206572.97999996</c:v>
                </c:pt>
                <c:pt idx="2">
                  <c:v>203179610.86000001</c:v>
                </c:pt>
                <c:pt idx="3">
                  <c:v>204924669.72999999</c:v>
                </c:pt>
                <c:pt idx="4">
                  <c:v>205449544.32771084</c:v>
                </c:pt>
                <c:pt idx="5">
                  <c:v>204715589.59036142</c:v>
                </c:pt>
                <c:pt idx="6">
                  <c:v>213633991.96144572</c:v>
                </c:pt>
                <c:pt idx="7">
                  <c:v>221806792.86746988</c:v>
                </c:pt>
                <c:pt idx="8">
                  <c:v>220154820.13493976</c:v>
                </c:pt>
                <c:pt idx="9">
                  <c:v>209733279.5373494</c:v>
                </c:pt>
                <c:pt idx="10">
                  <c:v>214209551.57590359</c:v>
                </c:pt>
                <c:pt idx="11">
                  <c:v>211868876.08683029</c:v>
                </c:pt>
                <c:pt idx="12">
                  <c:v>221296243.5714497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B5-4223-82AF-17E491D8758E}"/>
            </c:ext>
          </c:extLst>
        </c:ser>
        <c:ser>
          <c:idx val="3"/>
          <c:order val="3"/>
          <c:tx>
            <c:strRef>
              <c:f>Summary!$A$23</c:f>
              <c:strCache>
                <c:ptCount val="1"/>
                <c:pt idx="0">
                  <c:v>General Service 1000 to 4999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Summary!$C$25:$O$25</c:f>
              <c:numCache>
                <c:formatCode>#,##0</c:formatCode>
                <c:ptCount val="13"/>
                <c:pt idx="0">
                  <c:v>121407487</c:v>
                </c:pt>
                <c:pt idx="1">
                  <c:v>128979851</c:v>
                </c:pt>
                <c:pt idx="2">
                  <c:v>100652663.27</c:v>
                </c:pt>
                <c:pt idx="3">
                  <c:v>110411188.92</c:v>
                </c:pt>
                <c:pt idx="4">
                  <c:v>112974658.04233061</c:v>
                </c:pt>
                <c:pt idx="5">
                  <c:v>119969236.41206953</c:v>
                </c:pt>
                <c:pt idx="6">
                  <c:v>121918931.97074634</c:v>
                </c:pt>
                <c:pt idx="7">
                  <c:v>130413203.88434154</c:v>
                </c:pt>
                <c:pt idx="8">
                  <c:v>134423430.54196733</c:v>
                </c:pt>
                <c:pt idx="9">
                  <c:v>128841062.06228508</c:v>
                </c:pt>
                <c:pt idx="10">
                  <c:v>132400892.43957959</c:v>
                </c:pt>
                <c:pt idx="11">
                  <c:v>103617411.17512476</c:v>
                </c:pt>
                <c:pt idx="12">
                  <c:v>103617411.17512476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B5-4223-82AF-17E491D8758E}"/>
            </c:ext>
          </c:extLst>
        </c:ser>
        <c:ser>
          <c:idx val="4"/>
          <c:order val="4"/>
          <c:tx>
            <c:strRef>
              <c:f>Summary!$A$28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Summary!$C$30:$O$30</c:f>
              <c:numCache>
                <c:formatCode>#,##0</c:formatCode>
                <c:ptCount val="13"/>
                <c:pt idx="0">
                  <c:v>80336534</c:v>
                </c:pt>
                <c:pt idx="1">
                  <c:v>86554626</c:v>
                </c:pt>
                <c:pt idx="2">
                  <c:v>127931414.90000002</c:v>
                </c:pt>
                <c:pt idx="3">
                  <c:v>133427900.34</c:v>
                </c:pt>
                <c:pt idx="4">
                  <c:v>136606296.6878854</c:v>
                </c:pt>
                <c:pt idx="5">
                  <c:v>140016226.34772229</c:v>
                </c:pt>
                <c:pt idx="6">
                  <c:v>137562121.61328822</c:v>
                </c:pt>
                <c:pt idx="7">
                  <c:v>138505562.38313109</c:v>
                </c:pt>
                <c:pt idx="8">
                  <c:v>144434637.29858762</c:v>
                </c:pt>
                <c:pt idx="9">
                  <c:v>129179340.58086331</c:v>
                </c:pt>
                <c:pt idx="10">
                  <c:v>137730887.895365</c:v>
                </c:pt>
                <c:pt idx="11">
                  <c:v>131131300.15596515</c:v>
                </c:pt>
                <c:pt idx="12">
                  <c:v>131131300.15596515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B5-4223-82AF-17E491D8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12656"/>
        <c:axId val="943911016"/>
      </c:lineChart>
      <c:catAx>
        <c:axId val="9439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1016"/>
        <c:crosses val="autoZero"/>
        <c:auto val="1"/>
        <c:lblAlgn val="ctr"/>
        <c:lblOffset val="100"/>
        <c:noMultiLvlLbl val="0"/>
      </c:catAx>
      <c:valAx>
        <c:axId val="94391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kWh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(WN)'!$F$3:$F$128</c:f>
              <c:numCache>
                <c:formatCode>_(* #,##0_);_(* \(#,##0\);_(* "-"??_);_(@_)</c:formatCode>
                <c:ptCount val="126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5-4D96-94FA-94A443FF82B3}"/>
            </c:ext>
          </c:extLst>
        </c:ser>
        <c:ser>
          <c:idx val="1"/>
          <c:order val="1"/>
          <c:tx>
            <c:v>Predicted kWh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(WN)'!$Q$3:$Q$127</c:f>
              <c:numCache>
                <c:formatCode>#,##0_);\(#,##0\)</c:formatCode>
                <c:ptCount val="125"/>
                <c:pt idx="0">
                  <c:v>19156313.00715657</c:v>
                </c:pt>
                <c:pt idx="1">
                  <c:v>21007789.997359093</c:v>
                </c:pt>
                <c:pt idx="2">
                  <c:v>20273494.116112106</c:v>
                </c:pt>
                <c:pt idx="3">
                  <c:v>18318283.095335215</c:v>
                </c:pt>
                <c:pt idx="4">
                  <c:v>20075584.611483201</c:v>
                </c:pt>
                <c:pt idx="5">
                  <c:v>24560756.974158041</c:v>
                </c:pt>
                <c:pt idx="6">
                  <c:v>27124077.387348704</c:v>
                </c:pt>
                <c:pt idx="7">
                  <c:v>27942867.811907701</c:v>
                </c:pt>
                <c:pt idx="8">
                  <c:v>20314943.911354929</c:v>
                </c:pt>
                <c:pt idx="9">
                  <c:v>18181547.303700589</c:v>
                </c:pt>
                <c:pt idx="10">
                  <c:v>20851816.904435012</c:v>
                </c:pt>
                <c:pt idx="11">
                  <c:v>25424351.442372143</c:v>
                </c:pt>
                <c:pt idx="12">
                  <c:v>23249141.890685827</c:v>
                </c:pt>
                <c:pt idx="13">
                  <c:v>22491802.643013004</c:v>
                </c:pt>
                <c:pt idx="14">
                  <c:v>21250802.062372841</c:v>
                </c:pt>
                <c:pt idx="15">
                  <c:v>19031083.641052198</c:v>
                </c:pt>
                <c:pt idx="16">
                  <c:v>18327703.039809637</c:v>
                </c:pt>
                <c:pt idx="17">
                  <c:v>26421222.655255433</c:v>
                </c:pt>
                <c:pt idx="18">
                  <c:v>30970079.44950784</c:v>
                </c:pt>
                <c:pt idx="19">
                  <c:v>30482583.06403435</c:v>
                </c:pt>
                <c:pt idx="20">
                  <c:v>22207252.540163256</c:v>
                </c:pt>
                <c:pt idx="21">
                  <c:v>19800444.830852803</c:v>
                </c:pt>
                <c:pt idx="22">
                  <c:v>21423427.059781164</c:v>
                </c:pt>
                <c:pt idx="23">
                  <c:v>25967347.630651988</c:v>
                </c:pt>
                <c:pt idx="24">
                  <c:v>25224527.373851139</c:v>
                </c:pt>
                <c:pt idx="25">
                  <c:v>23207039.243399337</c:v>
                </c:pt>
                <c:pt idx="26">
                  <c:v>22902238.550123684</c:v>
                </c:pt>
                <c:pt idx="27">
                  <c:v>19600056.828191712</c:v>
                </c:pt>
                <c:pt idx="28">
                  <c:v>20833728.072415829</c:v>
                </c:pt>
                <c:pt idx="29">
                  <c:v>25697563.93008282</c:v>
                </c:pt>
                <c:pt idx="30">
                  <c:v>31698696.783542924</c:v>
                </c:pt>
                <c:pt idx="31">
                  <c:v>29975003.203215372</c:v>
                </c:pt>
                <c:pt idx="32">
                  <c:v>22479598.549855657</c:v>
                </c:pt>
                <c:pt idx="33">
                  <c:v>21268073.888908472</c:v>
                </c:pt>
                <c:pt idx="34">
                  <c:v>21433281.385145646</c:v>
                </c:pt>
                <c:pt idx="35">
                  <c:v>28051311.184339482</c:v>
                </c:pt>
                <c:pt idx="36">
                  <c:v>25302765.521700256</c:v>
                </c:pt>
                <c:pt idx="37">
                  <c:v>25550027.906680875</c:v>
                </c:pt>
                <c:pt idx="38">
                  <c:v>22953886.464197963</c:v>
                </c:pt>
                <c:pt idx="39">
                  <c:v>22004961.594948314</c:v>
                </c:pt>
                <c:pt idx="40">
                  <c:v>21775810.636791334</c:v>
                </c:pt>
                <c:pt idx="41">
                  <c:v>24713200.498005308</c:v>
                </c:pt>
                <c:pt idx="42">
                  <c:v>32696879.663072489</c:v>
                </c:pt>
                <c:pt idx="43">
                  <c:v>28806397.650159858</c:v>
                </c:pt>
                <c:pt idx="44">
                  <c:v>22759268.839607995</c:v>
                </c:pt>
                <c:pt idx="45">
                  <c:v>21575645.908790037</c:v>
                </c:pt>
                <c:pt idx="46">
                  <c:v>22136304.395029355</c:v>
                </c:pt>
                <c:pt idx="47">
                  <c:v>27811741.203937884</c:v>
                </c:pt>
                <c:pt idx="48">
                  <c:v>27267830.852155622</c:v>
                </c:pt>
                <c:pt idx="49">
                  <c:v>24968571.768425457</c:v>
                </c:pt>
                <c:pt idx="50">
                  <c:v>23863873.608583353</c:v>
                </c:pt>
                <c:pt idx="51">
                  <c:v>20940535.981039152</c:v>
                </c:pt>
                <c:pt idx="52">
                  <c:v>20966817.915084645</c:v>
                </c:pt>
                <c:pt idx="53">
                  <c:v>27453967.002183191</c:v>
                </c:pt>
                <c:pt idx="54">
                  <c:v>33783264.756138906</c:v>
                </c:pt>
                <c:pt idx="55">
                  <c:v>31383399.104645722</c:v>
                </c:pt>
                <c:pt idx="56">
                  <c:v>24470183.136615414</c:v>
                </c:pt>
                <c:pt idx="57">
                  <c:v>21681758.916458927</c:v>
                </c:pt>
                <c:pt idx="58">
                  <c:v>20355289.217934188</c:v>
                </c:pt>
                <c:pt idx="59">
                  <c:v>24713318.310497507</c:v>
                </c:pt>
                <c:pt idx="60">
                  <c:v>26619180.144647595</c:v>
                </c:pt>
                <c:pt idx="61">
                  <c:v>25350649.059795715</c:v>
                </c:pt>
                <c:pt idx="62">
                  <c:v>23912464.908841729</c:v>
                </c:pt>
                <c:pt idx="63">
                  <c:v>21762560.416243333</c:v>
                </c:pt>
                <c:pt idx="64">
                  <c:v>20208675.691277973</c:v>
                </c:pt>
                <c:pt idx="65">
                  <c:v>29965458.2517597</c:v>
                </c:pt>
                <c:pt idx="66">
                  <c:v>34590482.610959873</c:v>
                </c:pt>
                <c:pt idx="67">
                  <c:v>32673009.46740029</c:v>
                </c:pt>
                <c:pt idx="68">
                  <c:v>25962759.407952979</c:v>
                </c:pt>
                <c:pt idx="69">
                  <c:v>19745335.79582151</c:v>
                </c:pt>
                <c:pt idx="70">
                  <c:v>20549385.448688772</c:v>
                </c:pt>
                <c:pt idx="71">
                  <c:v>27728852.169160228</c:v>
                </c:pt>
                <c:pt idx="72">
                  <c:v>27694059.104395229</c:v>
                </c:pt>
                <c:pt idx="73">
                  <c:v>23976366.503926978</c:v>
                </c:pt>
                <c:pt idx="74">
                  <c:v>25092271.269592851</c:v>
                </c:pt>
                <c:pt idx="75">
                  <c:v>20920270.655311078</c:v>
                </c:pt>
                <c:pt idx="76">
                  <c:v>22374303.979931898</c:v>
                </c:pt>
                <c:pt idx="77">
                  <c:v>28970421.269668743</c:v>
                </c:pt>
                <c:pt idx="78">
                  <c:v>31437637.052345786</c:v>
                </c:pt>
                <c:pt idx="79">
                  <c:v>33309139.479481373</c:v>
                </c:pt>
                <c:pt idx="80">
                  <c:v>25422848.82413407</c:v>
                </c:pt>
                <c:pt idx="81">
                  <c:v>21560437.863709617</c:v>
                </c:pt>
                <c:pt idx="82">
                  <c:v>23555630.670997199</c:v>
                </c:pt>
                <c:pt idx="83">
                  <c:v>26384913.433302797</c:v>
                </c:pt>
                <c:pt idx="84">
                  <c:v>29264969.608218312</c:v>
                </c:pt>
                <c:pt idx="85">
                  <c:v>24746189.92014116</c:v>
                </c:pt>
                <c:pt idx="86">
                  <c:v>25979626.59305102</c:v>
                </c:pt>
                <c:pt idx="87">
                  <c:v>21619120.567242872</c:v>
                </c:pt>
                <c:pt idx="88">
                  <c:v>23966770.532161437</c:v>
                </c:pt>
                <c:pt idx="89">
                  <c:v>34441165.217066899</c:v>
                </c:pt>
                <c:pt idx="90">
                  <c:v>34100326.694762357</c:v>
                </c:pt>
                <c:pt idx="91">
                  <c:v>35671775.205549791</c:v>
                </c:pt>
                <c:pt idx="92">
                  <c:v>26850477.049311973</c:v>
                </c:pt>
                <c:pt idx="93">
                  <c:v>22465571.958783999</c:v>
                </c:pt>
                <c:pt idx="94">
                  <c:v>21659595.02655727</c:v>
                </c:pt>
                <c:pt idx="95">
                  <c:v>30915877.997224759</c:v>
                </c:pt>
                <c:pt idx="96">
                  <c:v>29708464.133109786</c:v>
                </c:pt>
                <c:pt idx="97">
                  <c:v>27321193.629218277</c:v>
                </c:pt>
                <c:pt idx="98">
                  <c:v>24840686.880992241</c:v>
                </c:pt>
                <c:pt idx="99">
                  <c:v>24096439.192334525</c:v>
                </c:pt>
                <c:pt idx="100">
                  <c:v>25209587.25580227</c:v>
                </c:pt>
                <c:pt idx="101">
                  <c:v>28576298.750910554</c:v>
                </c:pt>
                <c:pt idx="102">
                  <c:v>37514114.634375282</c:v>
                </c:pt>
                <c:pt idx="103">
                  <c:v>36316899.342683859</c:v>
                </c:pt>
                <c:pt idx="104">
                  <c:v>27717059.475989364</c:v>
                </c:pt>
                <c:pt idx="105">
                  <c:v>23503856.999089159</c:v>
                </c:pt>
                <c:pt idx="106">
                  <c:v>22059409.111938912</c:v>
                </c:pt>
                <c:pt idx="107">
                  <c:v>29501457.148897644</c:v>
                </c:pt>
                <c:pt idx="108">
                  <c:v>31726562.591189232</c:v>
                </c:pt>
                <c:pt idx="109">
                  <c:v>27077297.064375475</c:v>
                </c:pt>
                <c:pt idx="110">
                  <c:v>26922163.45826295</c:v>
                </c:pt>
                <c:pt idx="111">
                  <c:v>26931678.155214809</c:v>
                </c:pt>
                <c:pt idx="112">
                  <c:v>27021863.681561518</c:v>
                </c:pt>
                <c:pt idx="113">
                  <c:v>37748875.782884188</c:v>
                </c:pt>
                <c:pt idx="114">
                  <c:v>42216248.638613299</c:v>
                </c:pt>
                <c:pt idx="115">
                  <c:v>39821846.620537505</c:v>
                </c:pt>
                <c:pt idx="116">
                  <c:v>29618083.943185732</c:v>
                </c:pt>
                <c:pt idx="117">
                  <c:v>25572463.870840881</c:v>
                </c:pt>
                <c:pt idx="118">
                  <c:v>23992042.060718615</c:v>
                </c:pt>
                <c:pt idx="119">
                  <c:v>29469802.222818688</c:v>
                </c:pt>
                <c:pt idx="120">
                  <c:v>33835233.587004393</c:v>
                </c:pt>
                <c:pt idx="121">
                  <c:v>31717124.32075217</c:v>
                </c:pt>
                <c:pt idx="122">
                  <c:v>28483987.897806186</c:v>
                </c:pt>
                <c:pt idx="123">
                  <c:v>26112369.959957693</c:v>
                </c:pt>
                <c:pt idx="124">
                  <c:v>27550662.496819619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5-4D96-94FA-94A443FF8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kWh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Trend'!$A$3:$A$127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Trend'!$F$3:$F$128</c:f>
              <c:numCache>
                <c:formatCode>_(* #,##0_);_(* \(#,##0\);_(* "-"??_);_(@_)</c:formatCode>
                <c:ptCount val="126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705-ABEE-926E9B9A02CB}"/>
            </c:ext>
          </c:extLst>
        </c:ser>
        <c:ser>
          <c:idx val="1"/>
          <c:order val="1"/>
          <c:tx>
            <c:v>Predicted kWh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Trend'!$A$3:$A$127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Trend'!$Q$3:$Q$127</c:f>
              <c:numCache>
                <c:formatCode>#,##0_);\(#,##0\)</c:formatCode>
                <c:ptCount val="125"/>
                <c:pt idx="0">
                  <c:v>18860239.580855645</c:v>
                </c:pt>
                <c:pt idx="1">
                  <c:v>20868382.242838204</c:v>
                </c:pt>
                <c:pt idx="2">
                  <c:v>20193903.091258727</c:v>
                </c:pt>
                <c:pt idx="3">
                  <c:v>18293702.447736204</c:v>
                </c:pt>
                <c:pt idx="4">
                  <c:v>20446933.89571391</c:v>
                </c:pt>
                <c:pt idx="5">
                  <c:v>24765403.222961459</c:v>
                </c:pt>
                <c:pt idx="6">
                  <c:v>27350680.151487265</c:v>
                </c:pt>
                <c:pt idx="7">
                  <c:v>28498419.492249336</c:v>
                </c:pt>
                <c:pt idx="8">
                  <c:v>20129045.271568492</c:v>
                </c:pt>
                <c:pt idx="9">
                  <c:v>18116204.325441364</c:v>
                </c:pt>
                <c:pt idx="10">
                  <c:v>20835015.547482748</c:v>
                </c:pt>
                <c:pt idx="11">
                  <c:v>25320643.982037649</c:v>
                </c:pt>
                <c:pt idx="12">
                  <c:v>23205755.552604504</c:v>
                </c:pt>
                <c:pt idx="13">
                  <c:v>22471373.953939591</c:v>
                </c:pt>
                <c:pt idx="14">
                  <c:v>21171211.037519462</c:v>
                </c:pt>
                <c:pt idx="15">
                  <c:v>19006502.993453186</c:v>
                </c:pt>
                <c:pt idx="16">
                  <c:v>18699052.324040346</c:v>
                </c:pt>
                <c:pt idx="17">
                  <c:v>26625868.904058851</c:v>
                </c:pt>
                <c:pt idx="18">
                  <c:v>31196682.213646404</c:v>
                </c:pt>
                <c:pt idx="19">
                  <c:v>31038134.744375985</c:v>
                </c:pt>
                <c:pt idx="20">
                  <c:v>22021353.900376819</c:v>
                </c:pt>
                <c:pt idx="21">
                  <c:v>19735101.852593575</c:v>
                </c:pt>
                <c:pt idx="22">
                  <c:v>21406625.702828899</c:v>
                </c:pt>
                <c:pt idx="23">
                  <c:v>25863640.170317493</c:v>
                </c:pt>
                <c:pt idx="24">
                  <c:v>25181141.035769816</c:v>
                </c:pt>
                <c:pt idx="25">
                  <c:v>23186610.554325923</c:v>
                </c:pt>
                <c:pt idx="26">
                  <c:v>22822647.525270309</c:v>
                </c:pt>
                <c:pt idx="27">
                  <c:v>19575476.180592701</c:v>
                </c:pt>
                <c:pt idx="28">
                  <c:v>21205077.356646538</c:v>
                </c:pt>
                <c:pt idx="29">
                  <c:v>25902210.178886235</c:v>
                </c:pt>
                <c:pt idx="30">
                  <c:v>31925299.547681484</c:v>
                </c:pt>
                <c:pt idx="31">
                  <c:v>30530554.883557007</c:v>
                </c:pt>
                <c:pt idx="32">
                  <c:v>22293699.910069223</c:v>
                </c:pt>
                <c:pt idx="33">
                  <c:v>21202730.910649247</c:v>
                </c:pt>
                <c:pt idx="34">
                  <c:v>21416480.028193384</c:v>
                </c:pt>
                <c:pt idx="35">
                  <c:v>27947603.724004988</c:v>
                </c:pt>
                <c:pt idx="36">
                  <c:v>25259379.183618933</c:v>
                </c:pt>
                <c:pt idx="37">
                  <c:v>25529599.217607465</c:v>
                </c:pt>
                <c:pt idx="38">
                  <c:v>22874295.439344585</c:v>
                </c:pt>
                <c:pt idx="39">
                  <c:v>21980380.947349302</c:v>
                </c:pt>
                <c:pt idx="40">
                  <c:v>22147159.921022043</c:v>
                </c:pt>
                <c:pt idx="41">
                  <c:v>24917846.746808726</c:v>
                </c:pt>
                <c:pt idx="42">
                  <c:v>32923482.42721105</c:v>
                </c:pt>
                <c:pt idx="43">
                  <c:v>29361949.330501493</c:v>
                </c:pt>
                <c:pt idx="44">
                  <c:v>22573370.199821558</c:v>
                </c:pt>
                <c:pt idx="45">
                  <c:v>21510302.930530813</c:v>
                </c:pt>
                <c:pt idx="46">
                  <c:v>22119503.038077094</c:v>
                </c:pt>
                <c:pt idx="47">
                  <c:v>27708033.74360339</c:v>
                </c:pt>
                <c:pt idx="48">
                  <c:v>27224444.514074303</c:v>
                </c:pt>
                <c:pt idx="49">
                  <c:v>24948143.079352047</c:v>
                </c:pt>
                <c:pt idx="50">
                  <c:v>23784282.583729975</c:v>
                </c:pt>
                <c:pt idx="51">
                  <c:v>20915955.33344014</c:v>
                </c:pt>
                <c:pt idx="52">
                  <c:v>21338167.199315354</c:v>
                </c:pt>
                <c:pt idx="53">
                  <c:v>27658613.25098661</c:v>
                </c:pt>
                <c:pt idx="54">
                  <c:v>34009867.520277463</c:v>
                </c:pt>
                <c:pt idx="55">
                  <c:v>31938950.784987357</c:v>
                </c:pt>
                <c:pt idx="56">
                  <c:v>24284284.496828977</c:v>
                </c:pt>
                <c:pt idx="57">
                  <c:v>21616415.938199703</c:v>
                </c:pt>
                <c:pt idx="58">
                  <c:v>20338487.860981923</c:v>
                </c:pt>
                <c:pt idx="59">
                  <c:v>24609610.850163013</c:v>
                </c:pt>
                <c:pt idx="60">
                  <c:v>26575793.806566276</c:v>
                </c:pt>
                <c:pt idx="61">
                  <c:v>25330220.370722305</c:v>
                </c:pt>
                <c:pt idx="62">
                  <c:v>23832873.883988351</c:v>
                </c:pt>
                <c:pt idx="63">
                  <c:v>21737979.768644322</c:v>
                </c:pt>
                <c:pt idx="64">
                  <c:v>20580024.975508679</c:v>
                </c:pt>
                <c:pt idx="65">
                  <c:v>30170104.500563119</c:v>
                </c:pt>
                <c:pt idx="66">
                  <c:v>34817085.37509843</c:v>
                </c:pt>
                <c:pt idx="67">
                  <c:v>33228561.147741921</c:v>
                </c:pt>
                <c:pt idx="68">
                  <c:v>25776860.768166542</c:v>
                </c:pt>
                <c:pt idx="69">
                  <c:v>19679992.81756229</c:v>
                </c:pt>
                <c:pt idx="70">
                  <c:v>20532584.09173651</c:v>
                </c:pt>
                <c:pt idx="71">
                  <c:v>27625144.708825734</c:v>
                </c:pt>
                <c:pt idx="72">
                  <c:v>27650672.766313907</c:v>
                </c:pt>
                <c:pt idx="73">
                  <c:v>23955937.814853568</c:v>
                </c:pt>
                <c:pt idx="74">
                  <c:v>25012680.244739477</c:v>
                </c:pt>
                <c:pt idx="75">
                  <c:v>20895690.00771207</c:v>
                </c:pt>
                <c:pt idx="76">
                  <c:v>22745653.264162607</c:v>
                </c:pt>
                <c:pt idx="77">
                  <c:v>29175067.518472165</c:v>
                </c:pt>
                <c:pt idx="78">
                  <c:v>31664239.816484347</c:v>
                </c:pt>
                <c:pt idx="79">
                  <c:v>33864691.159823008</c:v>
                </c:pt>
                <c:pt idx="80">
                  <c:v>25236950.184347633</c:v>
                </c:pt>
                <c:pt idx="81">
                  <c:v>21495094.885450389</c:v>
                </c:pt>
                <c:pt idx="82">
                  <c:v>23538829.314044937</c:v>
                </c:pt>
                <c:pt idx="83">
                  <c:v>26281205.972968303</c:v>
                </c:pt>
                <c:pt idx="84">
                  <c:v>29221583.27013699</c:v>
                </c:pt>
                <c:pt idx="85">
                  <c:v>24725761.231067751</c:v>
                </c:pt>
                <c:pt idx="86">
                  <c:v>25900035.568197645</c:v>
                </c:pt>
                <c:pt idx="87">
                  <c:v>21594539.919643864</c:v>
                </c:pt>
                <c:pt idx="88">
                  <c:v>24338119.816392146</c:v>
                </c:pt>
                <c:pt idx="89">
                  <c:v>34645811.465870321</c:v>
                </c:pt>
                <c:pt idx="90">
                  <c:v>34326929.458900921</c:v>
                </c:pt>
                <c:pt idx="91">
                  <c:v>36227326.885891423</c:v>
                </c:pt>
                <c:pt idx="92">
                  <c:v>26664578.409525536</c:v>
                </c:pt>
                <c:pt idx="93">
                  <c:v>22400228.980524771</c:v>
                </c:pt>
                <c:pt idx="94">
                  <c:v>21642793.669605009</c:v>
                </c:pt>
                <c:pt idx="95">
                  <c:v>30812170.536890268</c:v>
                </c:pt>
                <c:pt idx="96">
                  <c:v>29665077.795028463</c:v>
                </c:pt>
                <c:pt idx="97">
                  <c:v>27300764.940144867</c:v>
                </c:pt>
                <c:pt idx="98">
                  <c:v>24761095.856138863</c:v>
                </c:pt>
                <c:pt idx="99">
                  <c:v>24071858.544735514</c:v>
                </c:pt>
                <c:pt idx="100">
                  <c:v>25580936.540032979</c:v>
                </c:pt>
                <c:pt idx="101">
                  <c:v>28780944.999713972</c:v>
                </c:pt>
                <c:pt idx="102">
                  <c:v>37740717.398513839</c:v>
                </c:pt>
                <c:pt idx="103">
                  <c:v>36872451.02302549</c:v>
                </c:pt>
                <c:pt idx="104">
                  <c:v>27531160.836202927</c:v>
                </c:pt>
                <c:pt idx="105">
                  <c:v>23438514.020829935</c:v>
                </c:pt>
                <c:pt idx="106">
                  <c:v>22042607.754986651</c:v>
                </c:pt>
                <c:pt idx="107">
                  <c:v>29397749.688563149</c:v>
                </c:pt>
                <c:pt idx="108">
                  <c:v>31683176.253107909</c:v>
                </c:pt>
                <c:pt idx="109">
                  <c:v>27056868.375302065</c:v>
                </c:pt>
                <c:pt idx="110">
                  <c:v>26842572.433409575</c:v>
                </c:pt>
                <c:pt idx="111">
                  <c:v>26907097.507615797</c:v>
                </c:pt>
                <c:pt idx="112">
                  <c:v>27393212.965792228</c:v>
                </c:pt>
                <c:pt idx="113">
                  <c:v>37953522.031687602</c:v>
                </c:pt>
                <c:pt idx="114">
                  <c:v>42442851.402751856</c:v>
                </c:pt>
                <c:pt idx="115">
                  <c:v>40377398.300879136</c:v>
                </c:pt>
                <c:pt idx="116">
                  <c:v>29432185.303399295</c:v>
                </c:pt>
                <c:pt idx="117">
                  <c:v>25507120.892581653</c:v>
                </c:pt>
                <c:pt idx="118">
                  <c:v>23975240.703766346</c:v>
                </c:pt>
                <c:pt idx="119">
                  <c:v>29366094.762484197</c:v>
                </c:pt>
                <c:pt idx="120">
                  <c:v>33791847.248923071</c:v>
                </c:pt>
                <c:pt idx="121">
                  <c:v>31696695.631678756</c:v>
                </c:pt>
                <c:pt idx="122">
                  <c:v>28404396.872952808</c:v>
                </c:pt>
                <c:pt idx="123">
                  <c:v>26087789.312358681</c:v>
                </c:pt>
                <c:pt idx="124">
                  <c:v>27922011.781050328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E-4705-ABEE-926E9B9A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36</xdr:row>
      <xdr:rowOff>91677</xdr:rowOff>
    </xdr:from>
    <xdr:to>
      <xdr:col>34</xdr:col>
      <xdr:colOff>190499</xdr:colOff>
      <xdr:row>67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B59B8F-89A3-4969-ADA6-54290D800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</xdr:colOff>
      <xdr:row>9</xdr:row>
      <xdr:rowOff>71438</xdr:rowOff>
    </xdr:from>
    <xdr:to>
      <xdr:col>36</xdr:col>
      <xdr:colOff>226217</xdr:colOff>
      <xdr:row>45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85848-8247-4C75-9DD2-60193A4CD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916781</xdr:colOff>
      <xdr:row>26</xdr:row>
      <xdr:rowOff>35718</xdr:rowOff>
    </xdr:from>
    <xdr:to>
      <xdr:col>33</xdr:col>
      <xdr:colOff>809624</xdr:colOff>
      <xdr:row>60</xdr:row>
      <xdr:rowOff>23811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6EF921-20BA-435C-8D06-5D3103880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166687</xdr:colOff>
      <xdr:row>35</xdr:row>
      <xdr:rowOff>23812</xdr:rowOff>
    </xdr:from>
    <xdr:to>
      <xdr:col>33</xdr:col>
      <xdr:colOff>59531</xdr:colOff>
      <xdr:row>69</xdr:row>
      <xdr:rowOff>11905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BF27A-B73C-48FE-8662-3FCA105D5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jovicr/Local%20Settings/Temporary%20Internet%20Files/Content.Outlook/HAF9ATE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</sheetPr>
  <dimension ref="A1:AW190"/>
  <sheetViews>
    <sheetView zoomScaleNormal="10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T5" sqref="T5"/>
    </sheetView>
  </sheetViews>
  <sheetFormatPr defaultRowHeight="12.75"/>
  <cols>
    <col min="1" max="3" width="11.85546875" customWidth="1"/>
    <col min="4" max="4" width="14.140625" customWidth="1"/>
    <col min="5" max="5" width="14.7109375" customWidth="1"/>
    <col min="6" max="6" width="13" style="5" bestFit="1" customWidth="1"/>
    <col min="7" max="7" width="13" style="1" customWidth="1"/>
    <col min="8" max="8" width="12.85546875" style="1" customWidth="1"/>
    <col min="9" max="9" width="15.42578125" style="1" customWidth="1"/>
    <col min="10" max="11" width="8" style="1" customWidth="1"/>
    <col min="12" max="12" width="13.5703125" style="42" bestFit="1" customWidth="1"/>
    <col min="13" max="13" width="13.140625" style="1" customWidth="1"/>
    <col min="14" max="14" width="14.7109375" style="1" customWidth="1"/>
    <col min="15" max="15" width="16" style="1" bestFit="1" customWidth="1"/>
    <col min="16" max="16" width="14.5703125" style="1" customWidth="1"/>
    <col min="17" max="17" width="15.140625" style="1" bestFit="1" customWidth="1"/>
    <col min="18" max="18" width="12.42578125" style="1" customWidth="1"/>
    <col min="19" max="19" width="22.42578125" bestFit="1" customWidth="1"/>
    <col min="20" max="20" width="16.140625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5" bestFit="1" customWidth="1"/>
    <col min="33" max="39" width="12.7109375" style="5" customWidth="1"/>
    <col min="40" max="49" width="12.7109375" customWidth="1"/>
  </cols>
  <sheetData>
    <row r="1" spans="1:45" ht="20.25" customHeight="1">
      <c r="A1" s="94" t="s">
        <v>56</v>
      </c>
      <c r="B1" s="94"/>
      <c r="C1" s="94"/>
      <c r="D1" s="94"/>
      <c r="E1" s="94"/>
      <c r="F1" s="94"/>
    </row>
    <row r="2" spans="1:45" ht="42" customHeight="1">
      <c r="D2" s="22" t="s">
        <v>57</v>
      </c>
      <c r="E2" s="22" t="s">
        <v>58</v>
      </c>
      <c r="F2" s="6" t="s">
        <v>59</v>
      </c>
      <c r="G2" s="85" t="s">
        <v>5</v>
      </c>
      <c r="H2" s="85" t="s">
        <v>6</v>
      </c>
      <c r="I2" s="8" t="s">
        <v>60</v>
      </c>
      <c r="J2" s="8" t="s">
        <v>61</v>
      </c>
      <c r="K2" s="8" t="s">
        <v>7</v>
      </c>
      <c r="L2" s="43" t="s">
        <v>62</v>
      </c>
      <c r="M2" s="8" t="s">
        <v>71</v>
      </c>
      <c r="N2" s="8" t="s">
        <v>72</v>
      </c>
      <c r="O2" s="8" t="s">
        <v>63</v>
      </c>
      <c r="P2" s="8" t="s">
        <v>64</v>
      </c>
      <c r="Q2" s="8" t="s">
        <v>65</v>
      </c>
      <c r="R2" s="8" t="s">
        <v>66</v>
      </c>
      <c r="AE2" s="7"/>
      <c r="AF2" s="7"/>
      <c r="AG2" s="7"/>
    </row>
    <row r="3" spans="1:45" ht="12.75" customHeight="1">
      <c r="A3" s="2">
        <v>40544</v>
      </c>
      <c r="B3">
        <f>YEAR(A3)</f>
        <v>2011</v>
      </c>
      <c r="C3">
        <f>MONTH(A3)</f>
        <v>1</v>
      </c>
      <c r="D3" s="69">
        <v>23710157.339999959</v>
      </c>
      <c r="E3" s="69">
        <v>23207.745325324893</v>
      </c>
      <c r="F3" s="69">
        <v>23733365.085325282</v>
      </c>
      <c r="G3" s="86">
        <v>713.3</v>
      </c>
      <c r="H3" s="63">
        <v>0</v>
      </c>
      <c r="I3" s="25">
        <v>31</v>
      </c>
      <c r="J3" s="25">
        <v>0</v>
      </c>
      <c r="K3" s="25">
        <v>0</v>
      </c>
      <c r="L3" s="30">
        <v>26615</v>
      </c>
      <c r="M3" s="87">
        <v>0</v>
      </c>
      <c r="N3" s="59">
        <v>0</v>
      </c>
      <c r="O3" s="25">
        <f t="shared" ref="O3:O8" si="0">$T$19+G3*$T$20+H3*$T$21+I3*$T$22+J3*$T$23+K3*$T$24+L3*$T$25+M3*$T$26+N3*$T$27</f>
        <v>23951768.666691147</v>
      </c>
      <c r="P3" s="65">
        <f>O3-E3</f>
        <v>23928560.921365824</v>
      </c>
      <c r="Q3" s="25">
        <f>+O3-F3</f>
        <v>218403.58136586472</v>
      </c>
      <c r="R3" s="38">
        <f>ABS(Q3/F3)</f>
        <v>9.2023857797100643E-3</v>
      </c>
      <c r="S3" t="s">
        <v>67</v>
      </c>
      <c r="AE3"/>
      <c r="AF3" s="29"/>
      <c r="AG3" s="48"/>
      <c r="AH3" s="39"/>
      <c r="AI3" s="56"/>
      <c r="AJ3" s="56"/>
      <c r="AK3" s="78"/>
      <c r="AL3" s="56"/>
      <c r="AM3" s="56"/>
      <c r="AN3" s="75"/>
      <c r="AO3" s="78"/>
      <c r="AP3" s="50"/>
      <c r="AQ3" s="50"/>
      <c r="AR3" s="5"/>
    </row>
    <row r="4" spans="1:45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69">
        <v>22287321.790000025</v>
      </c>
      <c r="E4" s="69">
        <v>23207.745325324893</v>
      </c>
      <c r="F4" s="69">
        <v>22310529.535325348</v>
      </c>
      <c r="G4" s="86">
        <v>598.20000000000016</v>
      </c>
      <c r="H4" s="63">
        <v>0</v>
      </c>
      <c r="I4" s="25">
        <v>28</v>
      </c>
      <c r="J4" s="25">
        <v>0</v>
      </c>
      <c r="K4" s="25">
        <v>0</v>
      </c>
      <c r="L4" s="30">
        <v>26654</v>
      </c>
      <c r="M4" s="87">
        <v>0</v>
      </c>
      <c r="N4" s="59">
        <v>0</v>
      </c>
      <c r="O4" s="25">
        <f t="shared" si="0"/>
        <v>20807316.510680657</v>
      </c>
      <c r="P4" s="65">
        <f t="shared" ref="P4:P67" si="3">O4-E4</f>
        <v>20784108.765355334</v>
      </c>
      <c r="Q4" s="25">
        <f t="shared" ref="Q4:Q67" si="4">+O4-F4</f>
        <v>-1503213.0246446915</v>
      </c>
      <c r="R4" s="38">
        <f t="shared" ref="R4:R67" si="5">ABS(Q4/F4)</f>
        <v>6.7376842054088462E-2</v>
      </c>
      <c r="AE4"/>
      <c r="AF4" s="29"/>
      <c r="AG4" s="39"/>
      <c r="AH4" s="56"/>
      <c r="AI4" s="56"/>
      <c r="AJ4" s="56"/>
      <c r="AK4" s="75"/>
      <c r="AL4" s="79"/>
      <c r="AM4" s="56"/>
      <c r="AN4" s="75"/>
      <c r="AO4" s="75"/>
      <c r="AP4" s="50"/>
      <c r="AQ4" s="50"/>
      <c r="AR4" s="5"/>
    </row>
    <row r="5" spans="1:45">
      <c r="A5" s="2">
        <v>40603</v>
      </c>
      <c r="B5">
        <f t="shared" si="1"/>
        <v>2011</v>
      </c>
      <c r="C5">
        <f t="shared" si="2"/>
        <v>3</v>
      </c>
      <c r="D5" s="69">
        <v>20538303.360000029</v>
      </c>
      <c r="E5" s="69">
        <v>23207.745325324893</v>
      </c>
      <c r="F5" s="69">
        <v>20561511.105325352</v>
      </c>
      <c r="G5" s="86">
        <v>510.79999999999995</v>
      </c>
      <c r="H5" s="63">
        <v>0</v>
      </c>
      <c r="I5" s="25">
        <v>31</v>
      </c>
      <c r="J5" s="25">
        <v>1</v>
      </c>
      <c r="K5" s="25">
        <v>0</v>
      </c>
      <c r="L5" s="30">
        <v>26750</v>
      </c>
      <c r="M5" s="87">
        <v>0</v>
      </c>
      <c r="N5" s="59">
        <v>0</v>
      </c>
      <c r="O5" s="25">
        <f t="shared" si="0"/>
        <v>19066530.70328851</v>
      </c>
      <c r="P5" s="65">
        <f t="shared" si="3"/>
        <v>19043322.957963187</v>
      </c>
      <c r="Q5" s="25">
        <f t="shared" si="4"/>
        <v>-1494980.402036842</v>
      </c>
      <c r="R5" s="38">
        <f t="shared" si="5"/>
        <v>7.2707710750385846E-2</v>
      </c>
      <c r="AC5" s="64"/>
      <c r="AE5"/>
      <c r="AF5" s="39"/>
      <c r="AG5" s="39"/>
      <c r="AH5" s="56"/>
      <c r="AI5" s="56"/>
      <c r="AJ5" s="56"/>
      <c r="AK5" s="75"/>
      <c r="AL5" s="79"/>
      <c r="AM5" s="56"/>
      <c r="AN5" s="75"/>
      <c r="AO5" s="75"/>
      <c r="AP5" s="49"/>
      <c r="AQ5" s="50"/>
      <c r="AR5" s="5"/>
    </row>
    <row r="6" spans="1:45" ht="12.75" customHeight="1">
      <c r="A6" s="2">
        <v>40634</v>
      </c>
      <c r="B6">
        <f t="shared" si="1"/>
        <v>2011</v>
      </c>
      <c r="C6">
        <f t="shared" si="2"/>
        <v>4</v>
      </c>
      <c r="D6" s="69">
        <v>18173296.59999999</v>
      </c>
      <c r="E6" s="69">
        <v>23207.745325324893</v>
      </c>
      <c r="F6" s="69">
        <v>18196504.345325314</v>
      </c>
      <c r="G6" s="86">
        <v>272.29999999999995</v>
      </c>
      <c r="H6" s="63">
        <v>0</v>
      </c>
      <c r="I6" s="25">
        <v>30</v>
      </c>
      <c r="J6" s="25">
        <v>1</v>
      </c>
      <c r="K6" s="25">
        <v>0</v>
      </c>
      <c r="L6" s="30">
        <v>26846</v>
      </c>
      <c r="M6" s="87">
        <v>0</v>
      </c>
      <c r="N6" s="59">
        <v>0</v>
      </c>
      <c r="O6" s="25">
        <f t="shared" si="0"/>
        <v>16550616.374361334</v>
      </c>
      <c r="P6" s="65">
        <f t="shared" si="3"/>
        <v>16527408.629036009</v>
      </c>
      <c r="Q6" s="25">
        <f t="shared" si="4"/>
        <v>-1645887.9709639791</v>
      </c>
      <c r="R6" s="38">
        <f t="shared" si="5"/>
        <v>9.0450777782866199E-2</v>
      </c>
      <c r="AE6"/>
      <c r="AG6" s="56"/>
      <c r="AH6" s="51"/>
      <c r="AJ6" s="29"/>
      <c r="AL6" s="80"/>
      <c r="AM6" s="80"/>
      <c r="AN6" s="5"/>
      <c r="AO6" s="5"/>
      <c r="AP6" s="5"/>
      <c r="AQ6" s="5"/>
      <c r="AR6" s="5"/>
      <c r="AS6" s="22"/>
    </row>
    <row r="7" spans="1:45">
      <c r="A7" s="2">
        <v>40664</v>
      </c>
      <c r="B7">
        <f t="shared" si="1"/>
        <v>2011</v>
      </c>
      <c r="C7">
        <f t="shared" si="2"/>
        <v>5</v>
      </c>
      <c r="D7" s="69">
        <v>19219228.860000029</v>
      </c>
      <c r="E7" s="69">
        <v>23207.745325324893</v>
      </c>
      <c r="F7" s="69">
        <v>19242436.605325352</v>
      </c>
      <c r="G7" s="86">
        <v>87.4</v>
      </c>
      <c r="H7" s="63">
        <v>28.3</v>
      </c>
      <c r="I7" s="25">
        <v>31</v>
      </c>
      <c r="J7" s="25">
        <v>1</v>
      </c>
      <c r="K7" s="25">
        <v>0</v>
      </c>
      <c r="L7" s="30">
        <v>26969</v>
      </c>
      <c r="M7" s="87">
        <v>0</v>
      </c>
      <c r="N7" s="59">
        <v>0</v>
      </c>
      <c r="O7" s="25">
        <f t="shared" si="0"/>
        <v>17468581.555574123</v>
      </c>
      <c r="P7" s="65">
        <f t="shared" si="3"/>
        <v>17445373.8102488</v>
      </c>
      <c r="Q7" s="25">
        <f t="shared" si="4"/>
        <v>-1773855.0497512296</v>
      </c>
      <c r="R7" s="38">
        <f t="shared" si="5"/>
        <v>9.2184533909822758E-2</v>
      </c>
      <c r="AE7"/>
      <c r="AG7" s="56"/>
      <c r="AH7" s="51"/>
      <c r="AI7" s="29"/>
      <c r="AJ7" s="29"/>
      <c r="AL7" s="80"/>
      <c r="AM7" s="80"/>
      <c r="AN7" s="5"/>
      <c r="AO7" s="5"/>
      <c r="AP7" s="5"/>
      <c r="AQ7" s="5"/>
      <c r="AR7" s="5"/>
      <c r="AS7" s="22"/>
    </row>
    <row r="8" spans="1:45">
      <c r="A8" s="2">
        <v>40695</v>
      </c>
      <c r="B8">
        <f t="shared" si="1"/>
        <v>2011</v>
      </c>
      <c r="C8">
        <f t="shared" si="2"/>
        <v>6</v>
      </c>
      <c r="D8" s="69">
        <v>23432000.140000012</v>
      </c>
      <c r="E8" s="69">
        <v>23207.745325324893</v>
      </c>
      <c r="F8" s="69">
        <v>23455207.885325335</v>
      </c>
      <c r="G8" s="86">
        <v>4.7999999999999989</v>
      </c>
      <c r="H8" s="63">
        <v>97.999999999999986</v>
      </c>
      <c r="I8" s="25">
        <v>30</v>
      </c>
      <c r="J8" s="25">
        <v>0</v>
      </c>
      <c r="K8" s="25">
        <v>0</v>
      </c>
      <c r="L8" s="30">
        <v>27068</v>
      </c>
      <c r="M8" s="87">
        <v>0</v>
      </c>
      <c r="N8" s="59">
        <v>0</v>
      </c>
      <c r="O8" s="25">
        <f t="shared" si="0"/>
        <v>23216974.275018174</v>
      </c>
      <c r="P8" s="65">
        <f t="shared" si="3"/>
        <v>23193766.529692851</v>
      </c>
      <c r="Q8" s="25">
        <f t="shared" si="4"/>
        <v>-238233.61030716076</v>
      </c>
      <c r="R8" s="38">
        <f t="shared" si="5"/>
        <v>1.0156960086301804E-2</v>
      </c>
      <c r="AE8"/>
      <c r="AG8" s="56"/>
      <c r="AH8" s="51"/>
      <c r="AI8" s="29"/>
      <c r="AJ8" s="29"/>
      <c r="AL8" s="80"/>
      <c r="AM8" s="80"/>
      <c r="AN8" s="5"/>
      <c r="AO8" s="5"/>
      <c r="AP8" s="5"/>
      <c r="AQ8" s="5"/>
      <c r="AR8" s="5"/>
      <c r="AS8" s="22"/>
    </row>
    <row r="9" spans="1:45">
      <c r="A9" s="2">
        <v>40725</v>
      </c>
      <c r="B9">
        <f t="shared" si="1"/>
        <v>2011</v>
      </c>
      <c r="C9">
        <f t="shared" si="2"/>
        <v>7</v>
      </c>
      <c r="D9" s="69">
        <v>29858048.27999996</v>
      </c>
      <c r="E9" s="69">
        <v>23207.745325324893</v>
      </c>
      <c r="F9" s="69">
        <v>29881256.025325283</v>
      </c>
      <c r="G9" s="86">
        <v>0</v>
      </c>
      <c r="H9" s="63">
        <v>260.30000000000007</v>
      </c>
      <c r="I9" s="25">
        <v>31</v>
      </c>
      <c r="J9" s="25">
        <v>0</v>
      </c>
      <c r="K9" s="25">
        <v>0</v>
      </c>
      <c r="L9" s="30">
        <v>27119</v>
      </c>
      <c r="M9" s="87">
        <v>0</v>
      </c>
      <c r="N9" s="59">
        <v>0</v>
      </c>
      <c r="O9" s="25">
        <f>$T$19+G9*$T$20+H9*$T$21+I9*$T$22+J9*$T$23+K9*$T$24+L9*$T$25</f>
        <v>32443239.122550897</v>
      </c>
      <c r="P9" s="65">
        <f t="shared" si="3"/>
        <v>32420031.377225574</v>
      </c>
      <c r="Q9" s="25">
        <f t="shared" si="4"/>
        <v>2561983.0972256139</v>
      </c>
      <c r="R9" s="38">
        <f t="shared" si="5"/>
        <v>8.5738802112409682E-2</v>
      </c>
      <c r="AE9"/>
      <c r="AG9" s="56"/>
      <c r="AH9" s="51"/>
      <c r="AI9" s="29"/>
      <c r="AJ9" s="29"/>
      <c r="AL9" s="80"/>
      <c r="AM9" s="80"/>
      <c r="AN9" s="5"/>
      <c r="AO9" s="5"/>
      <c r="AP9" s="5"/>
      <c r="AQ9" s="5"/>
      <c r="AR9" s="5"/>
      <c r="AS9" s="22"/>
    </row>
    <row r="10" spans="1:45">
      <c r="A10" s="2">
        <v>40756</v>
      </c>
      <c r="B10">
        <f t="shared" si="1"/>
        <v>2011</v>
      </c>
      <c r="C10">
        <f t="shared" si="2"/>
        <v>8</v>
      </c>
      <c r="D10" s="69">
        <v>28097294.710000008</v>
      </c>
      <c r="E10" s="69">
        <v>23207.745325324893</v>
      </c>
      <c r="F10" s="69">
        <v>28120502.455325332</v>
      </c>
      <c r="G10" s="86">
        <v>0</v>
      </c>
      <c r="H10" s="63">
        <v>184.2</v>
      </c>
      <c r="I10" s="25">
        <v>31</v>
      </c>
      <c r="J10" s="25">
        <v>0</v>
      </c>
      <c r="K10" s="25">
        <v>0</v>
      </c>
      <c r="L10" s="30">
        <v>27177</v>
      </c>
      <c r="M10" s="87">
        <v>0</v>
      </c>
      <c r="N10" s="59">
        <v>0</v>
      </c>
      <c r="O10" s="25">
        <f t="shared" ref="O10:O73" si="6">$T$19+G10*$T$20+H10*$T$21+I10*$T$22+J10*$T$23+K10*$T$24+L10*$T$25</f>
        <v>28518798.654584959</v>
      </c>
      <c r="P10" s="65">
        <f t="shared" si="3"/>
        <v>28495590.909259636</v>
      </c>
      <c r="Q10" s="25">
        <f t="shared" si="4"/>
        <v>398296.19925962761</v>
      </c>
      <c r="R10" s="38">
        <f t="shared" si="5"/>
        <v>1.4163907629047364E-2</v>
      </c>
      <c r="AE10"/>
      <c r="AG10" s="56"/>
      <c r="AH10" s="51"/>
      <c r="AI10" s="29"/>
      <c r="AJ10" s="29"/>
      <c r="AL10" s="80"/>
      <c r="AM10" s="80"/>
      <c r="AN10" s="5"/>
      <c r="AO10" s="5"/>
      <c r="AP10" s="5"/>
      <c r="AQ10" s="5"/>
      <c r="AR10" s="5"/>
      <c r="AS10" s="22"/>
    </row>
    <row r="11" spans="1:45">
      <c r="A11" s="2">
        <v>40787</v>
      </c>
      <c r="B11">
        <f t="shared" si="1"/>
        <v>2011</v>
      </c>
      <c r="C11">
        <f t="shared" si="2"/>
        <v>9</v>
      </c>
      <c r="D11" s="69">
        <v>19896374.790000003</v>
      </c>
      <c r="E11" s="69">
        <v>23207.745325324893</v>
      </c>
      <c r="F11" s="69">
        <v>19919582.535325326</v>
      </c>
      <c r="G11" s="86">
        <v>22.400000000000006</v>
      </c>
      <c r="H11" s="63">
        <v>73.7</v>
      </c>
      <c r="I11" s="25">
        <v>30</v>
      </c>
      <c r="J11" s="25">
        <v>1</v>
      </c>
      <c r="K11" s="25">
        <v>1</v>
      </c>
      <c r="L11" s="30">
        <v>27326</v>
      </c>
      <c r="M11" s="87">
        <v>0</v>
      </c>
      <c r="N11" s="59">
        <v>0</v>
      </c>
      <c r="O11" s="25">
        <f t="shared" si="6"/>
        <v>20518788.860714719</v>
      </c>
      <c r="P11" s="65">
        <f t="shared" si="3"/>
        <v>20495581.115389396</v>
      </c>
      <c r="Q11" s="25">
        <f t="shared" si="4"/>
        <v>599206.32538939267</v>
      </c>
      <c r="R11" s="38">
        <f t="shared" si="5"/>
        <v>3.0081269239792652E-2</v>
      </c>
      <c r="AC11" s="64"/>
      <c r="AE11"/>
      <c r="AG11" s="56"/>
      <c r="AH11" s="51"/>
      <c r="AI11" s="29"/>
      <c r="AJ11" s="29"/>
      <c r="AL11" s="80"/>
      <c r="AM11" s="80"/>
      <c r="AN11" s="5"/>
      <c r="AO11" s="5"/>
      <c r="AP11" s="5"/>
      <c r="AQ11" s="5"/>
      <c r="AR11" s="5"/>
      <c r="AS11" s="22"/>
    </row>
    <row r="12" spans="1:45" ht="13.5" customHeight="1">
      <c r="A12" s="2">
        <v>40817</v>
      </c>
      <c r="B12">
        <f t="shared" si="1"/>
        <v>2011</v>
      </c>
      <c r="C12">
        <f t="shared" si="2"/>
        <v>10</v>
      </c>
      <c r="D12" s="69">
        <v>18244566.349999983</v>
      </c>
      <c r="E12" s="69">
        <v>23207.745325324893</v>
      </c>
      <c r="F12" s="69">
        <v>18267774.095325306</v>
      </c>
      <c r="G12" s="86">
        <v>180.70000000000002</v>
      </c>
      <c r="H12" s="63">
        <v>9.6999999999999957</v>
      </c>
      <c r="I12" s="25">
        <v>31</v>
      </c>
      <c r="J12" s="25">
        <v>1</v>
      </c>
      <c r="K12" s="25">
        <v>0</v>
      </c>
      <c r="L12" s="30">
        <v>27440</v>
      </c>
      <c r="M12" s="87">
        <v>0</v>
      </c>
      <c r="N12" s="59">
        <v>0</v>
      </c>
      <c r="O12" s="25">
        <f t="shared" si="6"/>
        <v>17558323.955853842</v>
      </c>
      <c r="P12" s="65">
        <f t="shared" si="3"/>
        <v>17535116.210528519</v>
      </c>
      <c r="Q12" s="25">
        <f t="shared" si="4"/>
        <v>-709450.13947146386</v>
      </c>
      <c r="R12" s="38">
        <f t="shared" si="5"/>
        <v>3.8836156817431362E-2</v>
      </c>
      <c r="Y12" s="89"/>
      <c r="Z12" s="89" t="s">
        <v>100</v>
      </c>
      <c r="AA12" s="89"/>
      <c r="AB12" s="89"/>
      <c r="AC12" s="90"/>
      <c r="AE12"/>
      <c r="AG12" s="56"/>
      <c r="AH12" s="51"/>
      <c r="AI12" s="29"/>
      <c r="AJ12" s="29"/>
      <c r="AL12" s="80"/>
      <c r="AM12" s="80"/>
      <c r="AN12" s="5"/>
      <c r="AO12" s="5"/>
      <c r="AP12" s="5"/>
      <c r="AQ12" s="5"/>
      <c r="AR12" s="5"/>
      <c r="AS12" s="22"/>
    </row>
    <row r="13" spans="1:45">
      <c r="A13" s="2">
        <v>40848</v>
      </c>
      <c r="B13">
        <f t="shared" si="1"/>
        <v>2011</v>
      </c>
      <c r="C13">
        <f t="shared" si="2"/>
        <v>11</v>
      </c>
      <c r="D13" s="69">
        <v>20183725.750000019</v>
      </c>
      <c r="E13" s="69">
        <v>23207.745325324893</v>
      </c>
      <c r="F13" s="69">
        <v>20206933.495325342</v>
      </c>
      <c r="G13" s="86">
        <v>281.89999999999998</v>
      </c>
      <c r="H13" s="63">
        <v>0</v>
      </c>
      <c r="I13" s="25">
        <v>30</v>
      </c>
      <c r="J13" s="25">
        <v>1</v>
      </c>
      <c r="K13" s="25">
        <v>0</v>
      </c>
      <c r="L13" s="30">
        <v>27703</v>
      </c>
      <c r="M13" s="87">
        <v>0</v>
      </c>
      <c r="N13" s="59">
        <v>0</v>
      </c>
      <c r="O13" s="25">
        <f t="shared" si="6"/>
        <v>17254667.784205966</v>
      </c>
      <c r="P13" s="65">
        <f t="shared" si="3"/>
        <v>17231460.038880643</v>
      </c>
      <c r="Q13" s="25">
        <f t="shared" si="4"/>
        <v>-2952265.7111193761</v>
      </c>
      <c r="R13" s="38">
        <f t="shared" si="5"/>
        <v>0.14610161961498766</v>
      </c>
      <c r="Y13" s="89"/>
      <c r="Z13" s="89"/>
      <c r="AA13" s="89"/>
      <c r="AB13" s="89"/>
      <c r="AC13" s="90"/>
      <c r="AE13"/>
      <c r="AG13" s="56"/>
      <c r="AH13" s="51"/>
      <c r="AI13" s="29"/>
      <c r="AJ13" s="29"/>
      <c r="AL13" s="80"/>
      <c r="AM13" s="80"/>
      <c r="AN13" s="5"/>
      <c r="AO13" s="5"/>
      <c r="AP13" s="5"/>
      <c r="AQ13" s="5"/>
      <c r="AR13" s="5"/>
      <c r="AS13" s="22"/>
    </row>
    <row r="14" spans="1:45" ht="13.5" customHeight="1">
      <c r="A14" s="2">
        <v>40878</v>
      </c>
      <c r="B14">
        <f t="shared" si="1"/>
        <v>2011</v>
      </c>
      <c r="C14">
        <f t="shared" si="2"/>
        <v>12</v>
      </c>
      <c r="D14" s="69">
        <v>25085188.549999982</v>
      </c>
      <c r="E14" s="69">
        <v>23207.745325324893</v>
      </c>
      <c r="F14" s="69">
        <v>25108396.295325305</v>
      </c>
      <c r="G14" s="86">
        <v>472.00000000000006</v>
      </c>
      <c r="H14" s="63">
        <v>0</v>
      </c>
      <c r="I14" s="25">
        <v>31</v>
      </c>
      <c r="J14" s="25">
        <v>0</v>
      </c>
      <c r="K14" s="25">
        <v>0</v>
      </c>
      <c r="L14" s="30">
        <v>27826</v>
      </c>
      <c r="M14" s="87">
        <v>0</v>
      </c>
      <c r="N14" s="59">
        <v>0</v>
      </c>
      <c r="O14" s="25">
        <f t="shared" si="6"/>
        <v>22999686.890811007</v>
      </c>
      <c r="P14" s="65">
        <f t="shared" si="3"/>
        <v>22976479.145485684</v>
      </c>
      <c r="Q14" s="25">
        <f t="shared" si="4"/>
        <v>-2108709.4045142978</v>
      </c>
      <c r="R14" s="38">
        <f t="shared" si="5"/>
        <v>8.3984232991690458E-2</v>
      </c>
      <c r="S14" s="91" t="s">
        <v>98</v>
      </c>
      <c r="T14" s="91"/>
      <c r="U14" s="91"/>
      <c r="V14" s="91"/>
      <c r="W14" s="92"/>
      <c r="Y14" s="89" t="s">
        <v>68</v>
      </c>
      <c r="Z14" s="89"/>
      <c r="AA14" s="89"/>
      <c r="AB14" s="89"/>
      <c r="AC14" s="90"/>
      <c r="AE14"/>
      <c r="AG14" s="56"/>
      <c r="AH14" s="51"/>
      <c r="AI14" s="29"/>
      <c r="AJ14" s="29"/>
      <c r="AL14" s="80"/>
      <c r="AM14" s="80"/>
      <c r="AN14" s="5"/>
      <c r="AO14" s="5"/>
      <c r="AP14" s="5"/>
      <c r="AQ14" s="5"/>
      <c r="AR14" s="5"/>
      <c r="AS14" s="22"/>
    </row>
    <row r="15" spans="1:45">
      <c r="A15" s="2">
        <v>40909</v>
      </c>
      <c r="B15">
        <f t="shared" si="1"/>
        <v>2012</v>
      </c>
      <c r="C15">
        <f t="shared" si="2"/>
        <v>1</v>
      </c>
      <c r="D15" s="69">
        <v>22605358.370000012</v>
      </c>
      <c r="E15" s="69">
        <v>60152.639777244323</v>
      </c>
      <c r="F15" s="69">
        <v>22665511.009777255</v>
      </c>
      <c r="G15" s="86">
        <v>549.1</v>
      </c>
      <c r="H15" s="63">
        <v>0</v>
      </c>
      <c r="I15" s="25">
        <v>31</v>
      </c>
      <c r="J15" s="25">
        <v>0</v>
      </c>
      <c r="K15" s="25">
        <v>0</v>
      </c>
      <c r="L15" s="30">
        <v>27984</v>
      </c>
      <c r="M15" s="87">
        <v>0</v>
      </c>
      <c r="N15" s="59">
        <v>0</v>
      </c>
      <c r="O15" s="25">
        <f t="shared" si="6"/>
        <v>23704946.462816171</v>
      </c>
      <c r="P15" s="65">
        <f t="shared" si="3"/>
        <v>23644793.823038928</v>
      </c>
      <c r="Q15" s="25">
        <f t="shared" si="4"/>
        <v>1039435.453038916</v>
      </c>
      <c r="R15" s="38">
        <f t="shared" si="5"/>
        <v>4.5859784612424279E-2</v>
      </c>
      <c r="S15" s="91" t="s">
        <v>69</v>
      </c>
      <c r="T15" s="91"/>
      <c r="U15" s="91"/>
      <c r="V15" s="91"/>
      <c r="W15" s="91"/>
      <c r="Y15" s="89" t="s">
        <v>69</v>
      </c>
      <c r="Z15" s="89"/>
      <c r="AA15" s="89"/>
      <c r="AB15" s="89"/>
      <c r="AC15" s="89"/>
      <c r="AE15"/>
      <c r="AG15" s="56"/>
      <c r="AH15" s="51"/>
      <c r="AI15" s="29"/>
      <c r="AJ15" s="29"/>
      <c r="AL15" s="80"/>
      <c r="AM15" s="80"/>
      <c r="AN15" s="5"/>
      <c r="AO15" s="5"/>
      <c r="AP15" s="5"/>
      <c r="AQ15" s="5"/>
      <c r="AR15" s="5"/>
      <c r="AS15" s="22"/>
    </row>
    <row r="16" spans="1:45">
      <c r="A16" s="2">
        <v>40940</v>
      </c>
      <c r="B16">
        <f t="shared" si="1"/>
        <v>2012</v>
      </c>
      <c r="C16">
        <f t="shared" si="2"/>
        <v>2</v>
      </c>
      <c r="D16" s="69">
        <v>21671478.420000002</v>
      </c>
      <c r="E16" s="69">
        <v>60152.639777244323</v>
      </c>
      <c r="F16" s="69">
        <v>21731631.059777245</v>
      </c>
      <c r="G16" s="86">
        <v>473.70000000000005</v>
      </c>
      <c r="H16" s="63">
        <v>0</v>
      </c>
      <c r="I16" s="25">
        <v>29</v>
      </c>
      <c r="J16" s="25">
        <v>0</v>
      </c>
      <c r="K16" s="25">
        <v>0</v>
      </c>
      <c r="L16" s="30">
        <v>28152</v>
      </c>
      <c r="M16" s="87">
        <v>0</v>
      </c>
      <c r="N16" s="59">
        <v>0</v>
      </c>
      <c r="O16" s="25">
        <f t="shared" si="6"/>
        <v>21723336.523143943</v>
      </c>
      <c r="P16" s="65">
        <f t="shared" si="3"/>
        <v>21663183.8833667</v>
      </c>
      <c r="Q16" s="25">
        <f t="shared" si="4"/>
        <v>-8294.5366333015263</v>
      </c>
      <c r="R16" s="38">
        <f t="shared" si="5"/>
        <v>3.8168035388074309E-4</v>
      </c>
      <c r="S16" s="91" t="s">
        <v>99</v>
      </c>
      <c r="T16" s="91"/>
      <c r="U16" s="91"/>
      <c r="V16" s="91"/>
      <c r="W16" s="91"/>
      <c r="Y16" s="89" t="s">
        <v>70</v>
      </c>
      <c r="Z16" s="89"/>
      <c r="AA16" s="89"/>
      <c r="AB16" s="89"/>
      <c r="AC16" s="89"/>
      <c r="AE16"/>
      <c r="AG16" s="56"/>
      <c r="AH16" s="51"/>
      <c r="AI16" s="29"/>
      <c r="AJ16" s="29"/>
      <c r="AL16" s="80"/>
      <c r="AM16" s="80"/>
      <c r="AN16" s="5"/>
      <c r="AO16" s="5"/>
      <c r="AP16" s="5"/>
      <c r="AQ16" s="5"/>
      <c r="AR16" s="27"/>
      <c r="AS16" s="22"/>
    </row>
    <row r="17" spans="1:46">
      <c r="A17" s="2">
        <v>40969</v>
      </c>
      <c r="B17">
        <f t="shared" si="1"/>
        <v>2012</v>
      </c>
      <c r="C17">
        <f t="shared" si="2"/>
        <v>3</v>
      </c>
      <c r="D17" s="69">
        <v>19949861.740000002</v>
      </c>
      <c r="E17" s="69">
        <v>60152.639777244323</v>
      </c>
      <c r="F17" s="69">
        <v>20010014.379777245</v>
      </c>
      <c r="G17" s="86">
        <v>290.2</v>
      </c>
      <c r="H17" s="63">
        <v>3</v>
      </c>
      <c r="I17" s="25">
        <v>31</v>
      </c>
      <c r="J17" s="25">
        <v>1</v>
      </c>
      <c r="K17" s="25">
        <v>0</v>
      </c>
      <c r="L17" s="30">
        <v>28320</v>
      </c>
      <c r="M17" s="87">
        <v>0</v>
      </c>
      <c r="N17" s="59">
        <v>0</v>
      </c>
      <c r="O17" s="25">
        <f t="shared" si="6"/>
        <v>18693179.333681267</v>
      </c>
      <c r="P17" s="65">
        <f t="shared" si="3"/>
        <v>18633026.693904024</v>
      </c>
      <c r="Q17" s="25">
        <f t="shared" si="4"/>
        <v>-1316835.0460959785</v>
      </c>
      <c r="R17" s="38">
        <f t="shared" si="5"/>
        <v>6.5808800588709901E-2</v>
      </c>
      <c r="S17" s="91"/>
      <c r="T17" s="91"/>
      <c r="U17" s="91"/>
      <c r="V17" s="91"/>
      <c r="W17" s="91"/>
      <c r="Y17" s="89"/>
      <c r="Z17" s="89"/>
      <c r="AA17" s="89"/>
      <c r="AB17" s="89"/>
      <c r="AC17" s="89"/>
      <c r="AE17"/>
      <c r="AG17" s="56"/>
      <c r="AH17" s="51"/>
      <c r="AI17" s="29"/>
      <c r="AJ17" s="29"/>
      <c r="AL17" s="80"/>
      <c r="AM17" s="80"/>
      <c r="AN17" s="5"/>
      <c r="AO17" s="5"/>
      <c r="AP17" s="5"/>
      <c r="AQ17" s="5"/>
      <c r="AR17" s="5"/>
      <c r="AS17" s="22"/>
    </row>
    <row r="18" spans="1:46">
      <c r="A18" s="2">
        <v>41000</v>
      </c>
      <c r="B18">
        <f t="shared" si="1"/>
        <v>2012</v>
      </c>
      <c r="C18">
        <f t="shared" si="2"/>
        <v>4</v>
      </c>
      <c r="D18" s="69">
        <v>18851854.700000014</v>
      </c>
      <c r="E18" s="69">
        <v>60152.639777244323</v>
      </c>
      <c r="F18" s="69">
        <v>18912007.339777257</v>
      </c>
      <c r="G18" s="86">
        <v>263.10000000000002</v>
      </c>
      <c r="H18" s="63">
        <v>1.3999999999999986</v>
      </c>
      <c r="I18" s="25">
        <v>30</v>
      </c>
      <c r="J18" s="25">
        <v>1</v>
      </c>
      <c r="K18" s="25">
        <v>0</v>
      </c>
      <c r="L18" s="30">
        <v>28570</v>
      </c>
      <c r="M18" s="87">
        <v>0</v>
      </c>
      <c r="N18" s="59">
        <v>0</v>
      </c>
      <c r="O18" s="25">
        <f t="shared" si="6"/>
        <v>17822109.582966078</v>
      </c>
      <c r="P18" s="65">
        <f t="shared" si="3"/>
        <v>17761956.943188835</v>
      </c>
      <c r="Q18" s="25">
        <f t="shared" si="4"/>
        <v>-1089897.7568111792</v>
      </c>
      <c r="R18" s="38">
        <f t="shared" si="5"/>
        <v>5.7629935163932521E-2</v>
      </c>
      <c r="S18" s="91"/>
      <c r="T18" s="91" t="s">
        <v>8</v>
      </c>
      <c r="U18" s="91" t="s">
        <v>9</v>
      </c>
      <c r="V18" s="91" t="s">
        <v>10</v>
      </c>
      <c r="W18" s="91" t="s">
        <v>11</v>
      </c>
      <c r="Y18" s="89"/>
      <c r="Z18" s="89" t="s">
        <v>8</v>
      </c>
      <c r="AA18" s="89" t="s">
        <v>9</v>
      </c>
      <c r="AB18" s="89" t="s">
        <v>10</v>
      </c>
      <c r="AC18" s="89" t="s">
        <v>11</v>
      </c>
      <c r="AE18"/>
      <c r="AF18" s="39"/>
      <c r="AG18" s="51"/>
      <c r="AH18" s="52"/>
      <c r="AI18" s="29"/>
      <c r="AL18" s="45"/>
      <c r="AM18" s="53"/>
      <c r="AN18" s="53"/>
      <c r="AO18" s="53"/>
      <c r="AP18" s="5"/>
      <c r="AQ18" s="5"/>
      <c r="AS18" s="22"/>
    </row>
    <row r="19" spans="1:46">
      <c r="A19" s="2">
        <v>41030</v>
      </c>
      <c r="B19">
        <f t="shared" si="1"/>
        <v>2012</v>
      </c>
      <c r="C19">
        <f t="shared" si="2"/>
        <v>5</v>
      </c>
      <c r="D19" s="69">
        <v>18991152.079999991</v>
      </c>
      <c r="E19" s="69">
        <v>60152.639777244323</v>
      </c>
      <c r="F19" s="69">
        <v>19051304.719777234</v>
      </c>
      <c r="G19" s="86">
        <v>46.199999999999989</v>
      </c>
      <c r="H19" s="63">
        <v>64.199999999999989</v>
      </c>
      <c r="I19" s="25">
        <v>31</v>
      </c>
      <c r="J19" s="25">
        <v>1</v>
      </c>
      <c r="K19" s="25">
        <v>0</v>
      </c>
      <c r="L19" s="30">
        <v>28755</v>
      </c>
      <c r="M19" s="87">
        <v>0</v>
      </c>
      <c r="N19" s="59">
        <v>0</v>
      </c>
      <c r="O19" s="25">
        <f t="shared" si="6"/>
        <v>20339751.367643554</v>
      </c>
      <c r="P19" s="65">
        <f t="shared" si="3"/>
        <v>20279598.727866311</v>
      </c>
      <c r="Q19" s="25">
        <f t="shared" si="4"/>
        <v>1288446.6478663199</v>
      </c>
      <c r="R19" s="38">
        <f t="shared" si="5"/>
        <v>6.7630362687379542E-2</v>
      </c>
      <c r="S19" s="91" t="s">
        <v>12</v>
      </c>
      <c r="T19" s="91">
        <v>-24788260.2544889</v>
      </c>
      <c r="U19" s="91">
        <v>5058199.4520784104</v>
      </c>
      <c r="V19" s="91">
        <v>-4.9006094934242697</v>
      </c>
      <c r="W19" s="92">
        <v>2.9008236781988299E-6</v>
      </c>
      <c r="Y19" s="89" t="s">
        <v>12</v>
      </c>
      <c r="Z19" s="89">
        <v>-18893263.306903001</v>
      </c>
      <c r="AA19" s="89">
        <v>5185235.7900725901</v>
      </c>
      <c r="AB19" s="89">
        <v>-3.6436652202152802</v>
      </c>
      <c r="AC19" s="89">
        <v>3.9476725714889698E-4</v>
      </c>
      <c r="AE19"/>
      <c r="AF19" s="56"/>
      <c r="AG19" s="51"/>
      <c r="AH19" s="39"/>
      <c r="AI19" s="58"/>
      <c r="AJ19" s="58"/>
      <c r="AK19" s="1"/>
      <c r="AN19" s="5"/>
      <c r="AO19" s="5"/>
      <c r="AP19" s="5"/>
      <c r="AQ19" s="5"/>
    </row>
    <row r="20" spans="1:46">
      <c r="A20" s="2">
        <v>41061</v>
      </c>
      <c r="B20">
        <f t="shared" si="1"/>
        <v>2012</v>
      </c>
      <c r="C20">
        <f t="shared" si="2"/>
        <v>6</v>
      </c>
      <c r="D20" s="69">
        <v>27898710.519999996</v>
      </c>
      <c r="E20" s="69">
        <v>60152.639777244323</v>
      </c>
      <c r="F20" s="69">
        <v>27958863.159777239</v>
      </c>
      <c r="G20" s="86">
        <v>9.6</v>
      </c>
      <c r="H20" s="63">
        <v>148</v>
      </c>
      <c r="I20" s="25">
        <v>30</v>
      </c>
      <c r="J20" s="25">
        <v>0</v>
      </c>
      <c r="K20" s="25">
        <v>0</v>
      </c>
      <c r="L20" s="30">
        <v>28856</v>
      </c>
      <c r="M20" s="87">
        <v>0</v>
      </c>
      <c r="N20" s="59">
        <v>0</v>
      </c>
      <c r="O20" s="25">
        <f t="shared" si="6"/>
        <v>27176055.909351327</v>
      </c>
      <c r="P20" s="65">
        <f t="shared" si="3"/>
        <v>27115903.269574083</v>
      </c>
      <c r="Q20" s="25">
        <f t="shared" si="4"/>
        <v>-782807.25042591244</v>
      </c>
      <c r="R20" s="38">
        <f t="shared" si="5"/>
        <v>2.7998536491000495E-2</v>
      </c>
      <c r="S20" s="91" t="s">
        <v>5</v>
      </c>
      <c r="T20" s="91">
        <v>7639.1476558713603</v>
      </c>
      <c r="U20" s="91">
        <v>1151.19006128611</v>
      </c>
      <c r="V20" s="91">
        <v>6.63587005549451</v>
      </c>
      <c r="W20" s="92">
        <v>8.7872897838188896E-10</v>
      </c>
      <c r="Y20" s="89" t="s">
        <v>5</v>
      </c>
      <c r="Z20" s="89">
        <v>8735.5477451992792</v>
      </c>
      <c r="AA20" s="89">
        <v>955.16207542171696</v>
      </c>
      <c r="AB20" s="89">
        <v>9.1456182882286399</v>
      </c>
      <c r="AC20" s="90">
        <v>1.5513487993009601E-15</v>
      </c>
      <c r="AE20"/>
      <c r="AF20" s="56"/>
      <c r="AG20" s="81"/>
      <c r="AH20" s="81"/>
      <c r="AI20" s="29"/>
      <c r="AK20" s="1"/>
      <c r="AN20" s="5"/>
      <c r="AO20" s="5"/>
      <c r="AP20" s="5"/>
      <c r="AQ20" s="5"/>
    </row>
    <row r="21" spans="1:46">
      <c r="A21" s="2">
        <v>41091</v>
      </c>
      <c r="B21">
        <f t="shared" si="1"/>
        <v>2012</v>
      </c>
      <c r="C21">
        <f t="shared" si="2"/>
        <v>7</v>
      </c>
      <c r="D21" s="69">
        <v>33515927.190000005</v>
      </c>
      <c r="E21" s="69">
        <v>60152.639777244323</v>
      </c>
      <c r="F21" s="69">
        <v>33576079.829777248</v>
      </c>
      <c r="G21" s="86">
        <v>0</v>
      </c>
      <c r="H21" s="63">
        <v>257.39999999999998</v>
      </c>
      <c r="I21" s="25">
        <v>31</v>
      </c>
      <c r="J21" s="25">
        <v>0</v>
      </c>
      <c r="K21" s="25">
        <v>0</v>
      </c>
      <c r="L21" s="30">
        <v>28963</v>
      </c>
      <c r="M21" s="87">
        <v>0</v>
      </c>
      <c r="N21" s="59">
        <v>0</v>
      </c>
      <c r="O21" s="25">
        <f t="shared" si="6"/>
        <v>33649166.526792616</v>
      </c>
      <c r="P21" s="65">
        <f t="shared" si="3"/>
        <v>33589013.887015373</v>
      </c>
      <c r="Q21" s="25">
        <f t="shared" si="4"/>
        <v>73086.697015367448</v>
      </c>
      <c r="R21" s="38">
        <f t="shared" si="5"/>
        <v>2.1767489649148933E-3</v>
      </c>
      <c r="S21" s="91" t="s">
        <v>6</v>
      </c>
      <c r="T21" s="91">
        <v>52130.4336921266</v>
      </c>
      <c r="U21" s="91">
        <v>3729.7936280069698</v>
      </c>
      <c r="V21" s="91">
        <v>13.976760885824801</v>
      </c>
      <c r="W21" s="92">
        <v>2.5894283903026099E-27</v>
      </c>
      <c r="Y21" s="89" t="s">
        <v>6</v>
      </c>
      <c r="Z21" s="89">
        <v>52933.346861410202</v>
      </c>
      <c r="AA21" s="89">
        <v>3453.72029547191</v>
      </c>
      <c r="AB21" s="89">
        <v>15.3264718427864</v>
      </c>
      <c r="AC21" s="90">
        <v>2.6212456298096899E-30</v>
      </c>
      <c r="AE21"/>
      <c r="AF21" s="39"/>
      <c r="AG21" s="51"/>
      <c r="AH21" s="39"/>
      <c r="AI21" s="29"/>
      <c r="AK21" s="1"/>
      <c r="AN21" s="5"/>
      <c r="AO21" s="5"/>
      <c r="AP21" s="5"/>
      <c r="AQ21" s="5"/>
    </row>
    <row r="22" spans="1:46">
      <c r="A22" s="2">
        <v>41122</v>
      </c>
      <c r="B22">
        <f t="shared" si="1"/>
        <v>2012</v>
      </c>
      <c r="C22">
        <f t="shared" si="2"/>
        <v>8</v>
      </c>
      <c r="D22" s="69">
        <v>29969286.820000008</v>
      </c>
      <c r="E22" s="69">
        <v>60152.639777244323</v>
      </c>
      <c r="F22" s="69">
        <v>30029439.459777251</v>
      </c>
      <c r="G22" s="86">
        <v>0</v>
      </c>
      <c r="H22" s="63">
        <v>172.1</v>
      </c>
      <c r="I22" s="25">
        <v>31</v>
      </c>
      <c r="J22" s="25">
        <v>0</v>
      </c>
      <c r="K22" s="25">
        <v>0</v>
      </c>
      <c r="L22" s="30">
        <v>29039</v>
      </c>
      <c r="M22" s="87">
        <v>0</v>
      </c>
      <c r="N22" s="59">
        <v>0</v>
      </c>
      <c r="O22" s="25">
        <f t="shared" si="6"/>
        <v>29258373.304170981</v>
      </c>
      <c r="P22" s="65">
        <f t="shared" si="3"/>
        <v>29198220.664393738</v>
      </c>
      <c r="Q22" s="25">
        <f t="shared" si="4"/>
        <v>-771066.15560626984</v>
      </c>
      <c r="R22" s="38">
        <f t="shared" si="5"/>
        <v>2.5677007945455316E-2</v>
      </c>
      <c r="S22" s="91" t="s">
        <v>1</v>
      </c>
      <c r="T22" s="91">
        <v>764629.53466513695</v>
      </c>
      <c r="U22" s="91">
        <v>156777.34876609399</v>
      </c>
      <c r="V22" s="91">
        <v>4.8771684218613496</v>
      </c>
      <c r="W22" s="92">
        <v>3.20557898267182E-6</v>
      </c>
      <c r="Y22" s="89" t="s">
        <v>1</v>
      </c>
      <c r="Z22" s="89">
        <v>700140.39219496294</v>
      </c>
      <c r="AA22" s="89">
        <v>167154.58775368199</v>
      </c>
      <c r="AB22" s="89">
        <v>4.1885801736215802</v>
      </c>
      <c r="AC22" s="90">
        <v>5.3081721144805101E-5</v>
      </c>
      <c r="AE22"/>
      <c r="AF22" s="39"/>
      <c r="AG22" s="51"/>
      <c r="AH22" s="39"/>
      <c r="AI22" s="29"/>
      <c r="AK22" s="54"/>
      <c r="AL22" s="54"/>
      <c r="AM22" s="54"/>
      <c r="AN22" s="54"/>
      <c r="AO22" s="54"/>
      <c r="AP22" s="54"/>
      <c r="AQ22" s="5"/>
    </row>
    <row r="23" spans="1:46">
      <c r="A23" s="2">
        <v>41153</v>
      </c>
      <c r="B23">
        <f t="shared" si="1"/>
        <v>2012</v>
      </c>
      <c r="C23">
        <f t="shared" si="2"/>
        <v>9</v>
      </c>
      <c r="D23" s="69">
        <v>21178062.030000005</v>
      </c>
      <c r="E23" s="69">
        <v>60152.639777244323</v>
      </c>
      <c r="F23" s="69">
        <v>21238214.669777248</v>
      </c>
      <c r="G23" s="86">
        <v>48.300000000000011</v>
      </c>
      <c r="H23" s="63">
        <v>58.899999999999991</v>
      </c>
      <c r="I23" s="25">
        <v>30</v>
      </c>
      <c r="J23" s="25">
        <v>1</v>
      </c>
      <c r="K23" s="25">
        <v>1</v>
      </c>
      <c r="L23" s="30">
        <v>29133</v>
      </c>
      <c r="M23" s="87">
        <v>0</v>
      </c>
      <c r="N23" s="59">
        <v>0</v>
      </c>
      <c r="O23" s="25">
        <f t="shared" si="6"/>
        <v>21274987.600166138</v>
      </c>
      <c r="P23" s="65">
        <f t="shared" si="3"/>
        <v>21214834.960388895</v>
      </c>
      <c r="Q23" s="25">
        <f t="shared" si="4"/>
        <v>36772.930388890207</v>
      </c>
      <c r="R23" s="38">
        <f t="shared" si="5"/>
        <v>1.7314511111529269E-3</v>
      </c>
      <c r="S23" s="91" t="s">
        <v>3</v>
      </c>
      <c r="T23" s="91">
        <v>-3437664.8279276802</v>
      </c>
      <c r="U23" s="91">
        <v>408371.93195958599</v>
      </c>
      <c r="V23" s="91">
        <v>-8.4179752791332607</v>
      </c>
      <c r="W23" s="92">
        <v>7.54209114134145E-14</v>
      </c>
      <c r="Y23" s="89" t="s">
        <v>3</v>
      </c>
      <c r="Z23" s="89">
        <v>-2872240.8640193399</v>
      </c>
      <c r="AA23" s="89">
        <v>364282.109347158</v>
      </c>
      <c r="AB23" s="89">
        <v>-7.8846607898663397</v>
      </c>
      <c r="AC23" s="90">
        <v>1.44662653707938E-12</v>
      </c>
      <c r="AE23"/>
      <c r="AF23" s="39"/>
      <c r="AG23" s="51"/>
      <c r="AH23" s="39"/>
      <c r="AI23" s="29"/>
      <c r="AK23" s="54"/>
      <c r="AL23" s="54"/>
      <c r="AM23" s="54"/>
      <c r="AN23" s="54"/>
      <c r="AO23" s="54"/>
      <c r="AP23" s="54"/>
      <c r="AQ23" s="5"/>
    </row>
    <row r="24" spans="1:46">
      <c r="A24" s="2">
        <v>41183</v>
      </c>
      <c r="B24">
        <f t="shared" si="1"/>
        <v>2012</v>
      </c>
      <c r="C24">
        <f t="shared" si="2"/>
        <v>10</v>
      </c>
      <c r="D24" s="69">
        <v>19579886.000000007</v>
      </c>
      <c r="E24" s="69">
        <v>60152.639777244323</v>
      </c>
      <c r="F24" s="69">
        <v>19640038.639777251</v>
      </c>
      <c r="G24" s="86">
        <v>183.9</v>
      </c>
      <c r="H24" s="63">
        <v>4.5</v>
      </c>
      <c r="I24" s="25">
        <v>31</v>
      </c>
      <c r="J24" s="25">
        <v>1</v>
      </c>
      <c r="K24" s="25">
        <v>0</v>
      </c>
      <c r="L24" s="30">
        <v>29289</v>
      </c>
      <c r="M24" s="87">
        <v>0</v>
      </c>
      <c r="N24" s="59">
        <v>0</v>
      </c>
      <c r="O24" s="25">
        <f t="shared" si="6"/>
        <v>18672476.422689091</v>
      </c>
      <c r="P24" s="65">
        <f t="shared" si="3"/>
        <v>18612323.782911848</v>
      </c>
      <c r="Q24" s="25">
        <f t="shared" si="4"/>
        <v>-967562.21708815917</v>
      </c>
      <c r="R24" s="38">
        <f t="shared" si="5"/>
        <v>4.9264781746841457E-2</v>
      </c>
      <c r="S24" s="91" t="s">
        <v>2</v>
      </c>
      <c r="T24" s="91">
        <v>1681922.91412949</v>
      </c>
      <c r="U24" s="91">
        <v>526188.88632570801</v>
      </c>
      <c r="V24" s="91">
        <v>3.1964242458142502</v>
      </c>
      <c r="W24" s="92">
        <v>1.7622228716866601E-3</v>
      </c>
      <c r="Y24" s="89" t="s">
        <v>2</v>
      </c>
      <c r="Z24" s="89">
        <v>1706351.3837903</v>
      </c>
      <c r="AA24" s="89">
        <v>497363.92251725</v>
      </c>
      <c r="AB24" s="89">
        <v>3.4307904263625302</v>
      </c>
      <c r="AC24" s="90">
        <v>8.1999039110360495E-4</v>
      </c>
      <c r="AE24"/>
      <c r="AF24" s="39"/>
      <c r="AG24" s="51"/>
      <c r="AH24" s="39"/>
      <c r="AI24" s="29"/>
      <c r="AK24" s="78"/>
      <c r="AL24" s="78"/>
      <c r="AM24" s="78"/>
      <c r="AN24" s="49"/>
      <c r="AO24" s="49"/>
      <c r="AP24" s="49"/>
      <c r="AQ24" s="5"/>
    </row>
    <row r="25" spans="1:46">
      <c r="A25" s="2">
        <v>41214</v>
      </c>
      <c r="B25">
        <f t="shared" si="1"/>
        <v>2012</v>
      </c>
      <c r="C25">
        <f t="shared" si="2"/>
        <v>11</v>
      </c>
      <c r="D25" s="69">
        <v>21421956.510000002</v>
      </c>
      <c r="E25" s="69">
        <v>60152.639777244323</v>
      </c>
      <c r="F25" s="69">
        <v>21482109.149777245</v>
      </c>
      <c r="G25" s="86">
        <v>373.99999999999994</v>
      </c>
      <c r="H25" s="63">
        <v>0</v>
      </c>
      <c r="I25" s="25">
        <v>30</v>
      </c>
      <c r="J25" s="25">
        <v>1</v>
      </c>
      <c r="K25" s="25">
        <v>0</v>
      </c>
      <c r="L25" s="30">
        <v>29378</v>
      </c>
      <c r="M25" s="87">
        <v>0</v>
      </c>
      <c r="N25" s="59">
        <v>0</v>
      </c>
      <c r="O25" s="25">
        <f t="shared" si="6"/>
        <v>19190962.124832533</v>
      </c>
      <c r="P25" s="65">
        <f t="shared" si="3"/>
        <v>19130809.48505529</v>
      </c>
      <c r="Q25" s="25">
        <f t="shared" si="4"/>
        <v>-2291147.0249447115</v>
      </c>
      <c r="R25" s="38">
        <f t="shared" si="5"/>
        <v>0.10665372794498017</v>
      </c>
      <c r="S25" s="91" t="s">
        <v>0</v>
      </c>
      <c r="T25" s="91">
        <v>735.95751732585995</v>
      </c>
      <c r="U25" s="91">
        <v>58.182343389931702</v>
      </c>
      <c r="V25" s="91">
        <v>12.649155644927401</v>
      </c>
      <c r="W25" s="92">
        <v>4.0207722631808099E-24</v>
      </c>
      <c r="Y25" s="89" t="s">
        <v>0</v>
      </c>
      <c r="Z25" s="89">
        <v>588.46728649549095</v>
      </c>
      <c r="AA25" s="89">
        <v>38.071823410709797</v>
      </c>
      <c r="AB25" s="89">
        <v>15.456766547460701</v>
      </c>
      <c r="AC25" s="90">
        <v>1.31711731993705E-30</v>
      </c>
      <c r="AE25" s="2"/>
      <c r="AF25" s="39"/>
      <c r="AG25" s="51"/>
      <c r="AH25" s="55"/>
      <c r="AI25" s="2"/>
      <c r="AJ25" s="29"/>
      <c r="AM25" s="2"/>
      <c r="AN25" s="56"/>
      <c r="AO25" s="56"/>
      <c r="AP25" s="56"/>
      <c r="AQ25" s="2"/>
      <c r="AR25" s="56"/>
      <c r="AS25" s="56"/>
      <c r="AT25" s="5"/>
    </row>
    <row r="26" spans="1:46">
      <c r="A26" s="2">
        <v>41244</v>
      </c>
      <c r="B26">
        <f t="shared" si="1"/>
        <v>2012</v>
      </c>
      <c r="C26">
        <f t="shared" si="2"/>
        <v>12</v>
      </c>
      <c r="D26" s="69">
        <v>25587420.26999997</v>
      </c>
      <c r="E26" s="69">
        <v>60152.639777244323</v>
      </c>
      <c r="F26" s="69">
        <v>25647572.909777213</v>
      </c>
      <c r="G26" s="86">
        <v>471.50000000000006</v>
      </c>
      <c r="H26" s="63">
        <v>0</v>
      </c>
      <c r="I26" s="25">
        <v>31</v>
      </c>
      <c r="J26" s="25">
        <v>0</v>
      </c>
      <c r="K26" s="25">
        <v>0</v>
      </c>
      <c r="L26" s="30">
        <v>29614</v>
      </c>
      <c r="M26" s="87">
        <v>0</v>
      </c>
      <c r="N26" s="59">
        <v>0</v>
      </c>
      <c r="O26" s="25">
        <f t="shared" si="6"/>
        <v>24311759.357961707</v>
      </c>
      <c r="P26" s="65">
        <f t="shared" si="3"/>
        <v>24251606.718184464</v>
      </c>
      <c r="Q26" s="25">
        <f t="shared" si="4"/>
        <v>-1335813.5518155061</v>
      </c>
      <c r="R26" s="38">
        <f t="shared" si="5"/>
        <v>5.2083429356634181E-2</v>
      </c>
      <c r="S26" s="91"/>
      <c r="T26" s="91"/>
      <c r="U26" s="91"/>
      <c r="V26" s="91"/>
      <c r="W26" s="91"/>
      <c r="Y26" s="89" t="s">
        <v>71</v>
      </c>
      <c r="Z26" s="89">
        <v>3576.4087557058901</v>
      </c>
      <c r="AA26" s="89">
        <v>1128.55821394485</v>
      </c>
      <c r="AB26" s="89">
        <v>3.1690068899544301</v>
      </c>
      <c r="AC26" s="89">
        <v>1.9302008059125699E-3</v>
      </c>
      <c r="AE26" s="2"/>
      <c r="AF26" s="39"/>
      <c r="AG26" s="51"/>
      <c r="AH26" s="55"/>
      <c r="AI26" s="2"/>
      <c r="AJ26" s="29"/>
      <c r="AM26" s="2"/>
      <c r="AN26" s="56"/>
      <c r="AO26" s="56"/>
      <c r="AP26" s="56"/>
      <c r="AQ26" s="2"/>
      <c r="AR26" s="56"/>
      <c r="AS26" s="56"/>
      <c r="AT26" s="5"/>
    </row>
    <row r="27" spans="1:46">
      <c r="A27" s="2">
        <v>41275</v>
      </c>
      <c r="B27">
        <f t="shared" si="1"/>
        <v>2013</v>
      </c>
      <c r="C27">
        <f t="shared" si="2"/>
        <v>1</v>
      </c>
      <c r="D27" s="69">
        <v>24654099.019999988</v>
      </c>
      <c r="E27" s="69">
        <v>89162.051531255813</v>
      </c>
      <c r="F27" s="69">
        <v>24743261.071531244</v>
      </c>
      <c r="G27" s="86">
        <v>562.50000000000011</v>
      </c>
      <c r="H27" s="63">
        <v>0</v>
      </c>
      <c r="I27" s="25">
        <v>31</v>
      </c>
      <c r="J27" s="25">
        <v>0</v>
      </c>
      <c r="K27" s="25">
        <v>0</v>
      </c>
      <c r="L27" s="30">
        <v>29835</v>
      </c>
      <c r="M27" s="87">
        <v>0</v>
      </c>
      <c r="N27" s="59">
        <v>0</v>
      </c>
      <c r="O27" s="25">
        <f t="shared" si="6"/>
        <v>25169568.405975018</v>
      </c>
      <c r="P27" s="65">
        <f t="shared" si="3"/>
        <v>25080406.354443762</v>
      </c>
      <c r="Q27" s="25">
        <f t="shared" si="4"/>
        <v>426307.33444377407</v>
      </c>
      <c r="R27" s="38">
        <f t="shared" si="5"/>
        <v>1.7229229939066878E-2</v>
      </c>
      <c r="S27" s="91" t="s">
        <v>13</v>
      </c>
      <c r="T27" s="91"/>
      <c r="U27" s="91"/>
      <c r="V27" s="91"/>
      <c r="W27" s="92"/>
      <c r="Y27" s="89" t="s">
        <v>72</v>
      </c>
      <c r="Z27" s="89">
        <v>24534.8158289153</v>
      </c>
      <c r="AA27" s="89">
        <v>3130.9815657572599</v>
      </c>
      <c r="AB27" s="89">
        <v>7.8361418978783597</v>
      </c>
      <c r="AC27" s="90">
        <v>1.8720205917012902E-12</v>
      </c>
      <c r="AE27" s="2"/>
      <c r="AF27" s="39"/>
      <c r="AG27" s="82"/>
      <c r="AH27" s="55"/>
      <c r="AI27" s="2"/>
      <c r="AJ27" s="29"/>
      <c r="AM27" s="2"/>
      <c r="AN27" s="56"/>
      <c r="AO27" s="5"/>
      <c r="AP27" s="5"/>
      <c r="AQ27" s="2"/>
      <c r="AR27" s="56"/>
      <c r="AS27" s="5"/>
      <c r="AT27" s="5"/>
    </row>
    <row r="28" spans="1:46">
      <c r="A28" s="2">
        <v>41306</v>
      </c>
      <c r="B28">
        <f t="shared" si="1"/>
        <v>2013</v>
      </c>
      <c r="C28">
        <f t="shared" si="2"/>
        <v>2</v>
      </c>
      <c r="D28" s="69">
        <v>23135370.840000026</v>
      </c>
      <c r="E28" s="69">
        <v>89162.051531255813</v>
      </c>
      <c r="F28" s="69">
        <v>23224532.891531281</v>
      </c>
      <c r="G28" s="86">
        <v>575.5</v>
      </c>
      <c r="H28" s="63">
        <v>0</v>
      </c>
      <c r="I28" s="25">
        <v>28</v>
      </c>
      <c r="J28" s="25">
        <v>0</v>
      </c>
      <c r="K28" s="25">
        <v>0</v>
      </c>
      <c r="L28" s="30">
        <v>29989</v>
      </c>
      <c r="M28" s="87">
        <v>0</v>
      </c>
      <c r="N28" s="59">
        <v>0</v>
      </c>
      <c r="O28" s="25">
        <f t="shared" si="6"/>
        <v>23088326.179174118</v>
      </c>
      <c r="P28" s="65">
        <f t="shared" si="3"/>
        <v>22999164.127642862</v>
      </c>
      <c r="Q28" s="25">
        <f t="shared" si="4"/>
        <v>-136206.71235716343</v>
      </c>
      <c r="R28" s="38">
        <f t="shared" si="5"/>
        <v>5.8647772591728028E-3</v>
      </c>
      <c r="S28" s="91" t="s">
        <v>14</v>
      </c>
      <c r="T28" s="91">
        <v>26318647.798103601</v>
      </c>
      <c r="U28" s="91" t="s">
        <v>15</v>
      </c>
      <c r="V28" s="91">
        <v>5379028.7518450199</v>
      </c>
      <c r="W28" s="91"/>
      <c r="Y28" s="89"/>
      <c r="Z28" s="89"/>
      <c r="AA28" s="89"/>
      <c r="AB28" s="89"/>
      <c r="AC28" s="89"/>
      <c r="AE28" s="2"/>
      <c r="AF28" s="39"/>
      <c r="AG28" s="51"/>
      <c r="AH28" s="55"/>
      <c r="AI28" s="2"/>
      <c r="AJ28" s="29"/>
      <c r="AM28" s="2"/>
      <c r="AN28" s="56"/>
      <c r="AO28" s="5"/>
      <c r="AP28" s="5"/>
      <c r="AQ28" s="2"/>
      <c r="AR28" s="56"/>
      <c r="AS28" s="5"/>
      <c r="AT28" s="5"/>
    </row>
    <row r="29" spans="1:46">
      <c r="A29" s="2">
        <v>41334</v>
      </c>
      <c r="B29">
        <f t="shared" si="1"/>
        <v>2013</v>
      </c>
      <c r="C29">
        <f t="shared" si="2"/>
        <v>3</v>
      </c>
      <c r="D29" s="69">
        <v>22963588.829999994</v>
      </c>
      <c r="E29" s="69">
        <v>89162.051531255813</v>
      </c>
      <c r="F29" s="69">
        <v>23052750.88153125</v>
      </c>
      <c r="G29" s="86">
        <v>492.79999999999995</v>
      </c>
      <c r="H29" s="63">
        <v>0</v>
      </c>
      <c r="I29" s="25">
        <v>31</v>
      </c>
      <c r="J29" s="25">
        <v>1</v>
      </c>
      <c r="K29" s="25">
        <v>0</v>
      </c>
      <c r="L29" s="30">
        <v>30236</v>
      </c>
      <c r="M29" s="87">
        <v>0</v>
      </c>
      <c r="N29" s="59">
        <v>0</v>
      </c>
      <c r="O29" s="25">
        <f t="shared" si="6"/>
        <v>21494573.950880773</v>
      </c>
      <c r="P29" s="65">
        <f t="shared" si="3"/>
        <v>21405411.899349518</v>
      </c>
      <c r="Q29" s="25">
        <f t="shared" si="4"/>
        <v>-1558176.9306504764</v>
      </c>
      <c r="R29" s="38">
        <f t="shared" si="5"/>
        <v>6.7591800156865986E-2</v>
      </c>
      <c r="S29" s="91" t="s">
        <v>16</v>
      </c>
      <c r="T29" s="91">
        <v>308375275941528</v>
      </c>
      <c r="U29" s="91" t="s">
        <v>17</v>
      </c>
      <c r="V29" s="91">
        <v>1570669.35016006</v>
      </c>
      <c r="W29" s="91"/>
      <c r="Y29" s="89" t="s">
        <v>13</v>
      </c>
      <c r="Z29" s="89"/>
      <c r="AA29" s="89"/>
      <c r="AB29" s="89"/>
      <c r="AC29" s="89"/>
      <c r="AE29" s="2"/>
      <c r="AF29" s="39"/>
      <c r="AG29" s="51"/>
      <c r="AH29" s="55"/>
      <c r="AI29" s="2"/>
      <c r="AJ29" s="29"/>
      <c r="AM29" s="2"/>
      <c r="AN29" s="56"/>
      <c r="AO29" s="5"/>
      <c r="AP29" s="5"/>
      <c r="AQ29" s="2"/>
      <c r="AR29" s="56"/>
      <c r="AS29" s="5"/>
      <c r="AT29" s="5"/>
    </row>
    <row r="30" spans="1:46">
      <c r="A30" s="2">
        <v>41365</v>
      </c>
      <c r="B30">
        <f t="shared" si="1"/>
        <v>2013</v>
      </c>
      <c r="C30">
        <f t="shared" si="2"/>
        <v>4</v>
      </c>
      <c r="D30" s="69">
        <v>19590025.609999973</v>
      </c>
      <c r="E30" s="69">
        <v>89162.051531255813</v>
      </c>
      <c r="F30" s="69">
        <v>19679187.661531229</v>
      </c>
      <c r="G30" s="86">
        <v>298.60000000000002</v>
      </c>
      <c r="H30" s="63">
        <v>0</v>
      </c>
      <c r="I30" s="25">
        <v>30</v>
      </c>
      <c r="J30" s="25">
        <v>1</v>
      </c>
      <c r="K30" s="25">
        <v>0</v>
      </c>
      <c r="L30" s="30">
        <v>30511</v>
      </c>
      <c r="M30" s="87">
        <v>0</v>
      </c>
      <c r="N30" s="59">
        <v>0</v>
      </c>
      <c r="O30" s="25">
        <f t="shared" si="6"/>
        <v>19448810.25871003</v>
      </c>
      <c r="P30" s="65">
        <f t="shared" si="3"/>
        <v>19359648.207178775</v>
      </c>
      <c r="Q30" s="25">
        <f t="shared" si="4"/>
        <v>-230377.40282119811</v>
      </c>
      <c r="R30" s="38">
        <f t="shared" si="5"/>
        <v>1.1706652062246381E-2</v>
      </c>
      <c r="S30" s="91" t="s">
        <v>18</v>
      </c>
      <c r="T30" s="91">
        <v>0.91868261016751995</v>
      </c>
      <c r="U30" s="91" t="s">
        <v>19</v>
      </c>
      <c r="V30" s="91">
        <v>0.91477937545556098</v>
      </c>
      <c r="W30" s="91"/>
      <c r="Y30" s="89" t="s">
        <v>14</v>
      </c>
      <c r="Z30" s="89">
        <v>26318647.798103601</v>
      </c>
      <c r="AA30" s="89" t="s">
        <v>15</v>
      </c>
      <c r="AB30" s="89">
        <v>5379028.7518450199</v>
      </c>
      <c r="AC30" s="89"/>
      <c r="AE30" s="2"/>
      <c r="AF30" s="39"/>
      <c r="AG30" s="82"/>
      <c r="AH30" s="55"/>
      <c r="AI30" s="2"/>
      <c r="AJ30" s="29"/>
      <c r="AM30" s="2"/>
      <c r="AN30" s="56"/>
      <c r="AO30" s="5"/>
      <c r="AP30" s="5"/>
      <c r="AQ30" s="2"/>
      <c r="AR30" s="56"/>
      <c r="AS30" s="5"/>
      <c r="AT30" s="5"/>
    </row>
    <row r="31" spans="1:46">
      <c r="A31" s="2">
        <v>41395</v>
      </c>
      <c r="B31">
        <f t="shared" si="1"/>
        <v>2013</v>
      </c>
      <c r="C31">
        <f t="shared" si="2"/>
        <v>5</v>
      </c>
      <c r="D31" s="69">
        <v>20707182.480000004</v>
      </c>
      <c r="E31" s="69">
        <v>89162.051531255813</v>
      </c>
      <c r="F31" s="69">
        <v>20796344.531531259</v>
      </c>
      <c r="G31" s="86">
        <v>70.100000000000009</v>
      </c>
      <c r="H31" s="63">
        <v>46.1</v>
      </c>
      <c r="I31" s="25">
        <v>31</v>
      </c>
      <c r="J31" s="25">
        <v>1</v>
      </c>
      <c r="K31" s="25">
        <v>0</v>
      </c>
      <c r="L31" s="30">
        <v>30723</v>
      </c>
      <c r="M31" s="87">
        <v>0</v>
      </c>
      <c r="N31" s="59">
        <v>0</v>
      </c>
      <c r="O31" s="25">
        <f t="shared" si="6"/>
        <v>21027130.540888682</v>
      </c>
      <c r="P31" s="65">
        <f t="shared" si="3"/>
        <v>20937968.489357427</v>
      </c>
      <c r="Q31" s="25">
        <f t="shared" si="4"/>
        <v>230786.00935742259</v>
      </c>
      <c r="R31" s="38">
        <f t="shared" si="5"/>
        <v>1.1097431522521017E-2</v>
      </c>
      <c r="S31" s="91" t="s">
        <v>79</v>
      </c>
      <c r="T31" s="91">
        <v>154.99794796483101</v>
      </c>
      <c r="U31" s="91" t="s">
        <v>20</v>
      </c>
      <c r="V31" s="92">
        <v>2.0300904863380698E-55</v>
      </c>
      <c r="W31" s="92"/>
      <c r="Y31" s="89" t="s">
        <v>16</v>
      </c>
      <c r="Z31" s="89">
        <v>233370554573808</v>
      </c>
      <c r="AA31" s="89" t="s">
        <v>17</v>
      </c>
      <c r="AB31" s="89">
        <v>1377432.9682060301</v>
      </c>
      <c r="AC31" s="90"/>
      <c r="AE31" s="2"/>
      <c r="AF31" s="39"/>
      <c r="AG31" s="51"/>
      <c r="AH31" s="55"/>
      <c r="AI31" s="2"/>
      <c r="AJ31" s="29"/>
      <c r="AM31" s="2"/>
      <c r="AN31" s="56"/>
      <c r="AO31" s="5"/>
      <c r="AP31" s="5"/>
      <c r="AQ31" s="2"/>
      <c r="AR31" s="56"/>
      <c r="AS31" s="5"/>
      <c r="AT31" s="5"/>
    </row>
    <row r="32" spans="1:46">
      <c r="A32" s="2">
        <v>41426</v>
      </c>
      <c r="B32">
        <f t="shared" si="1"/>
        <v>2013</v>
      </c>
      <c r="C32">
        <f t="shared" si="2"/>
        <v>6</v>
      </c>
      <c r="D32" s="69">
        <v>24630971.620000005</v>
      </c>
      <c r="E32" s="69">
        <v>89162.051531255813</v>
      </c>
      <c r="F32" s="69">
        <v>24720133.67153126</v>
      </c>
      <c r="G32" s="86">
        <v>12.7</v>
      </c>
      <c r="H32" s="63">
        <v>99.300000000000011</v>
      </c>
      <c r="I32" s="25">
        <v>30</v>
      </c>
      <c r="J32" s="25">
        <v>0</v>
      </c>
      <c r="K32" s="25">
        <v>0</v>
      </c>
      <c r="L32" s="30">
        <v>30825</v>
      </c>
      <c r="M32" s="87">
        <v>0</v>
      </c>
      <c r="N32" s="59">
        <v>0</v>
      </c>
      <c r="O32" s="25">
        <f t="shared" si="6"/>
        <v>26110085.497892577</v>
      </c>
      <c r="P32" s="65">
        <f t="shared" si="3"/>
        <v>26020923.446361322</v>
      </c>
      <c r="Q32" s="25">
        <f t="shared" si="4"/>
        <v>1389951.8263613172</v>
      </c>
      <c r="R32" s="38">
        <f t="shared" si="5"/>
        <v>5.6227520644924499E-2</v>
      </c>
      <c r="S32" s="91" t="s">
        <v>21</v>
      </c>
      <c r="T32" s="91">
        <v>-3.72299638746246E-2</v>
      </c>
      <c r="U32" s="91" t="s">
        <v>22</v>
      </c>
      <c r="V32" s="91">
        <v>2.0739298535490098</v>
      </c>
      <c r="W32" s="92"/>
      <c r="Y32" s="89" t="s">
        <v>18</v>
      </c>
      <c r="Z32" s="89">
        <v>0.93843263368290097</v>
      </c>
      <c r="AA32" s="89" t="s">
        <v>19</v>
      </c>
      <c r="AB32" s="89">
        <v>0.93442825213382197</v>
      </c>
      <c r="AC32" s="90"/>
      <c r="AE32" s="2"/>
      <c r="AF32" s="39"/>
      <c r="AG32" s="51"/>
      <c r="AH32" s="55"/>
      <c r="AI32" s="2"/>
      <c r="AJ32" s="29"/>
      <c r="AM32" s="2"/>
      <c r="AN32" s="56"/>
      <c r="AO32" s="5"/>
      <c r="AP32" s="5"/>
      <c r="AQ32" s="2"/>
      <c r="AR32" s="56"/>
      <c r="AS32" s="5"/>
      <c r="AT32" s="5"/>
    </row>
    <row r="33" spans="1:49">
      <c r="A33" s="2">
        <v>41456</v>
      </c>
      <c r="B33">
        <f t="shared" si="1"/>
        <v>2013</v>
      </c>
      <c r="C33">
        <f t="shared" si="2"/>
        <v>7</v>
      </c>
      <c r="D33" s="69">
        <v>30978235.180000015</v>
      </c>
      <c r="E33" s="69">
        <v>89162.051531255813</v>
      </c>
      <c r="F33" s="69">
        <v>31067397.23153127</v>
      </c>
      <c r="G33" s="86">
        <v>0</v>
      </c>
      <c r="H33" s="63">
        <v>195.3</v>
      </c>
      <c r="I33" s="25">
        <v>31</v>
      </c>
      <c r="J33" s="25">
        <v>0</v>
      </c>
      <c r="K33" s="25">
        <v>0</v>
      </c>
      <c r="L33" s="30">
        <v>30936</v>
      </c>
      <c r="M33" s="87">
        <v>0</v>
      </c>
      <c r="N33" s="59">
        <v>0</v>
      </c>
      <c r="O33" s="25">
        <f t="shared" si="6"/>
        <v>31863910.776195474</v>
      </c>
      <c r="P33" s="65">
        <f t="shared" si="3"/>
        <v>31774748.724664219</v>
      </c>
      <c r="Q33" s="25">
        <f t="shared" si="4"/>
        <v>796513.54466420412</v>
      </c>
      <c r="R33" s="38">
        <f t="shared" si="5"/>
        <v>2.5638245094307344E-2</v>
      </c>
      <c r="S33" s="91"/>
      <c r="T33" s="91"/>
      <c r="U33" s="91"/>
      <c r="V33" s="92"/>
      <c r="W33" s="92"/>
      <c r="Y33" s="89" t="s">
        <v>73</v>
      </c>
      <c r="Z33" s="89">
        <v>263.236867034233</v>
      </c>
      <c r="AA33" s="89" t="s">
        <v>20</v>
      </c>
      <c r="AB33" s="90">
        <v>1.5099957346625299E-73</v>
      </c>
      <c r="AC33" s="90"/>
      <c r="AE33" s="2"/>
      <c r="AF33" s="39"/>
      <c r="AG33" s="82"/>
      <c r="AH33" s="55"/>
      <c r="AI33" s="2"/>
      <c r="AJ33" s="29"/>
      <c r="AM33" s="2"/>
      <c r="AN33" s="56"/>
      <c r="AO33" s="5"/>
      <c r="AP33" s="5"/>
      <c r="AQ33" s="2"/>
      <c r="AR33" s="56"/>
      <c r="AS33" s="5"/>
      <c r="AT33" s="5"/>
    </row>
    <row r="34" spans="1:49">
      <c r="A34" s="2">
        <v>41487</v>
      </c>
      <c r="B34">
        <f t="shared" si="1"/>
        <v>2013</v>
      </c>
      <c r="C34">
        <f t="shared" si="2"/>
        <v>8</v>
      </c>
      <c r="D34" s="69">
        <v>28353597.569999993</v>
      </c>
      <c r="E34" s="69">
        <v>89162.051531255813</v>
      </c>
      <c r="F34" s="69">
        <v>28442759.621531248</v>
      </c>
      <c r="G34" s="86">
        <v>0</v>
      </c>
      <c r="H34" s="63">
        <v>151.39999999999998</v>
      </c>
      <c r="I34" s="25">
        <v>31</v>
      </c>
      <c r="J34" s="25">
        <v>0</v>
      </c>
      <c r="K34" s="25">
        <v>0</v>
      </c>
      <c r="L34" s="30">
        <v>30985</v>
      </c>
      <c r="M34" s="87">
        <v>0</v>
      </c>
      <c r="N34" s="59">
        <v>0</v>
      </c>
      <c r="O34" s="25">
        <f t="shared" si="6"/>
        <v>29611446.655460082</v>
      </c>
      <c r="P34" s="65">
        <f t="shared" si="3"/>
        <v>29522284.603928827</v>
      </c>
      <c r="Q34" s="25">
        <f t="shared" si="4"/>
        <v>1168687.0339288339</v>
      </c>
      <c r="R34" s="38">
        <f t="shared" si="5"/>
        <v>4.108908732766333E-2</v>
      </c>
      <c r="W34" s="64"/>
      <c r="Y34" s="89" t="s">
        <v>21</v>
      </c>
      <c r="Z34" s="89">
        <v>-4.2291676121520702E-3</v>
      </c>
      <c r="AA34" s="89" t="s">
        <v>22</v>
      </c>
      <c r="AB34" s="89">
        <v>1.9974519624829501</v>
      </c>
      <c r="AC34" s="90"/>
      <c r="AE34" s="2"/>
      <c r="AF34" s="39"/>
      <c r="AG34" s="51"/>
      <c r="AH34" s="55"/>
      <c r="AI34" s="2"/>
      <c r="AJ34" s="29"/>
      <c r="AM34" s="2"/>
      <c r="AN34" s="56"/>
      <c r="AO34" s="5"/>
      <c r="AP34" s="5"/>
      <c r="AQ34" s="2"/>
      <c r="AR34" s="56"/>
      <c r="AS34" s="5"/>
      <c r="AT34" s="5"/>
    </row>
    <row r="35" spans="1:49">
      <c r="A35" s="2">
        <v>41518</v>
      </c>
      <c r="B35">
        <f t="shared" si="1"/>
        <v>2013</v>
      </c>
      <c r="C35">
        <f t="shared" si="2"/>
        <v>9</v>
      </c>
      <c r="D35" s="69">
        <v>20823560.830000009</v>
      </c>
      <c r="E35" s="69">
        <v>89162.051531255813</v>
      </c>
      <c r="F35" s="69">
        <v>20912722.881531265</v>
      </c>
      <c r="G35" s="86">
        <v>49.2</v>
      </c>
      <c r="H35" s="63">
        <v>47.3</v>
      </c>
      <c r="I35" s="25">
        <v>30</v>
      </c>
      <c r="J35" s="25">
        <v>1</v>
      </c>
      <c r="K35" s="25">
        <v>1</v>
      </c>
      <c r="L35" s="30">
        <v>31028</v>
      </c>
      <c r="M35" s="87">
        <v>0</v>
      </c>
      <c r="N35" s="59">
        <v>0</v>
      </c>
      <c r="O35" s="25">
        <f t="shared" si="6"/>
        <v>22071789.297560256</v>
      </c>
      <c r="P35" s="65">
        <f t="shared" si="3"/>
        <v>21982627.246029001</v>
      </c>
      <c r="Q35" s="25">
        <f t="shared" si="4"/>
        <v>1159066.4160289913</v>
      </c>
      <c r="R35" s="38">
        <f t="shared" si="5"/>
        <v>5.5423983887464133E-2</v>
      </c>
      <c r="W35" s="64"/>
      <c r="AE35" s="2"/>
      <c r="AF35" s="39"/>
      <c r="AG35" s="51"/>
      <c r="AH35" s="55"/>
      <c r="AI35" s="2"/>
      <c r="AJ35" s="29"/>
      <c r="AM35" s="2"/>
      <c r="AN35" s="56"/>
      <c r="AO35" s="5"/>
      <c r="AP35" s="5"/>
      <c r="AQ35" s="2"/>
      <c r="AR35" s="56"/>
      <c r="AS35" s="29"/>
      <c r="AT35" s="5"/>
    </row>
    <row r="36" spans="1:49">
      <c r="A36" s="2">
        <v>41548</v>
      </c>
      <c r="B36">
        <f t="shared" si="1"/>
        <v>2013</v>
      </c>
      <c r="C36">
        <f t="shared" si="2"/>
        <v>10</v>
      </c>
      <c r="D36" s="69">
        <v>20892190.989999991</v>
      </c>
      <c r="E36" s="69">
        <v>89162.051531255813</v>
      </c>
      <c r="F36" s="69">
        <v>20981353.041531246</v>
      </c>
      <c r="G36" s="86">
        <v>166</v>
      </c>
      <c r="H36" s="63">
        <v>4.6999999999999993</v>
      </c>
      <c r="I36" s="25">
        <v>31</v>
      </c>
      <c r="J36" s="25">
        <v>1</v>
      </c>
      <c r="K36" s="25">
        <v>0</v>
      </c>
      <c r="L36" s="30">
        <v>31160</v>
      </c>
      <c r="M36" s="87">
        <v>0</v>
      </c>
      <c r="N36" s="59">
        <v>0</v>
      </c>
      <c r="O36" s="25">
        <f t="shared" si="6"/>
        <v>19923138.281304102</v>
      </c>
      <c r="P36" s="65">
        <f t="shared" si="3"/>
        <v>19833976.229772847</v>
      </c>
      <c r="Q36" s="25">
        <f t="shared" si="4"/>
        <v>-1058214.7602271438</v>
      </c>
      <c r="R36" s="38">
        <f t="shared" si="5"/>
        <v>5.0435963692735897E-2</v>
      </c>
      <c r="W36" s="64"/>
      <c r="AE36" s="2"/>
      <c r="AF36" s="39"/>
      <c r="AH36" s="55"/>
      <c r="AI36" s="2"/>
      <c r="AJ36" s="29"/>
      <c r="AM36" s="2"/>
      <c r="AN36" s="56"/>
      <c r="AO36" s="5"/>
      <c r="AP36" s="5"/>
      <c r="AQ36" s="2"/>
      <c r="AR36" s="56"/>
      <c r="AS36" s="5"/>
      <c r="AT36" s="5"/>
    </row>
    <row r="37" spans="1:49">
      <c r="A37" s="2">
        <v>41579</v>
      </c>
      <c r="B37">
        <f t="shared" si="1"/>
        <v>2013</v>
      </c>
      <c r="C37">
        <f t="shared" si="2"/>
        <v>11</v>
      </c>
      <c r="D37" s="69">
        <v>21740451.749999989</v>
      </c>
      <c r="E37" s="69">
        <v>89162.051531255813</v>
      </c>
      <c r="F37" s="69">
        <v>21829613.801531244</v>
      </c>
      <c r="G37" s="86">
        <v>418.20000000000005</v>
      </c>
      <c r="H37" s="63">
        <v>0</v>
      </c>
      <c r="I37" s="25">
        <v>30</v>
      </c>
      <c r="J37" s="25">
        <v>1</v>
      </c>
      <c r="K37" s="25">
        <v>0</v>
      </c>
      <c r="L37" s="30">
        <v>31231</v>
      </c>
      <c r="M37" s="87">
        <v>0</v>
      </c>
      <c r="N37" s="59">
        <v>0</v>
      </c>
      <c r="O37" s="25">
        <f t="shared" si="6"/>
        <v>20892341.730826866</v>
      </c>
      <c r="P37" s="65">
        <f t="shared" si="3"/>
        <v>20803179.679295611</v>
      </c>
      <c r="Q37" s="25">
        <f t="shared" si="4"/>
        <v>-937272.07070437819</v>
      </c>
      <c r="R37" s="38">
        <f t="shared" si="5"/>
        <v>4.2935806342054156E-2</v>
      </c>
      <c r="W37" s="64"/>
      <c r="AE37" s="2"/>
      <c r="AI37" s="2"/>
      <c r="AM37" s="2"/>
      <c r="AN37" s="57"/>
      <c r="AO37" s="5"/>
      <c r="AP37" s="5"/>
      <c r="AQ37" s="2"/>
      <c r="AR37" s="57"/>
      <c r="AS37" s="53"/>
      <c r="AT37" s="5"/>
      <c r="AU37" s="23"/>
      <c r="AV37" s="23"/>
    </row>
    <row r="38" spans="1:49">
      <c r="A38" s="2">
        <v>41609</v>
      </c>
      <c r="B38">
        <f t="shared" si="1"/>
        <v>2013</v>
      </c>
      <c r="C38">
        <f t="shared" si="2"/>
        <v>12</v>
      </c>
      <c r="D38" s="69">
        <v>28821858.809999991</v>
      </c>
      <c r="E38" s="69">
        <v>89162.051531255813</v>
      </c>
      <c r="F38" s="69">
        <v>28911020.861531246</v>
      </c>
      <c r="G38" s="86">
        <v>625.9</v>
      </c>
      <c r="H38" s="63">
        <v>0</v>
      </c>
      <c r="I38" s="25">
        <v>31</v>
      </c>
      <c r="J38" s="25">
        <v>0</v>
      </c>
      <c r="K38" s="25">
        <v>0</v>
      </c>
      <c r="L38" s="30">
        <v>31309</v>
      </c>
      <c r="M38" s="87">
        <v>0</v>
      </c>
      <c r="N38" s="59">
        <v>0</v>
      </c>
      <c r="O38" s="25">
        <f t="shared" si="6"/>
        <v>26738691.747895576</v>
      </c>
      <c r="P38" s="65">
        <f t="shared" si="3"/>
        <v>26649529.696364321</v>
      </c>
      <c r="Q38" s="25">
        <f t="shared" si="4"/>
        <v>-2172329.1136356704</v>
      </c>
      <c r="R38" s="38">
        <f t="shared" si="5"/>
        <v>7.5138443711136912E-2</v>
      </c>
      <c r="W38" s="64"/>
      <c r="AE38" s="2"/>
      <c r="AI38" s="2"/>
      <c r="AM38" s="2"/>
      <c r="AN38" s="57"/>
      <c r="AO38" s="5"/>
      <c r="AP38" s="5"/>
      <c r="AQ38" s="2"/>
      <c r="AR38" s="57"/>
      <c r="AS38" s="5"/>
      <c r="AT38" s="5"/>
      <c r="AU38" s="23"/>
      <c r="AV38" s="23"/>
    </row>
    <row r="39" spans="1:49">
      <c r="A39" s="2">
        <v>41640</v>
      </c>
      <c r="B39">
        <f t="shared" si="1"/>
        <v>2014</v>
      </c>
      <c r="C39">
        <f t="shared" si="2"/>
        <v>1</v>
      </c>
      <c r="D39" s="69">
        <v>26189486.200000007</v>
      </c>
      <c r="E39" s="69">
        <v>170537.35727284456</v>
      </c>
      <c r="F39" s="69">
        <v>26360023.557272851</v>
      </c>
      <c r="G39" s="86">
        <v>763.9000000000002</v>
      </c>
      <c r="H39" s="63">
        <v>0</v>
      </c>
      <c r="I39" s="25">
        <v>31</v>
      </c>
      <c r="J39" s="25">
        <v>0</v>
      </c>
      <c r="K39" s="25">
        <v>0</v>
      </c>
      <c r="L39" s="30">
        <v>31327</v>
      </c>
      <c r="M39" s="87">
        <v>0</v>
      </c>
      <c r="N39" s="59">
        <v>0</v>
      </c>
      <c r="O39" s="25">
        <f t="shared" si="6"/>
        <v>27806141.359717693</v>
      </c>
      <c r="P39" s="65">
        <f t="shared" si="3"/>
        <v>27635604.002444848</v>
      </c>
      <c r="Q39" s="25">
        <f t="shared" si="4"/>
        <v>1446117.8024448417</v>
      </c>
      <c r="R39" s="38">
        <f t="shared" si="5"/>
        <v>5.486026214289369E-2</v>
      </c>
      <c r="W39" s="64"/>
      <c r="AE39" s="2"/>
      <c r="AI39" s="2"/>
      <c r="AM39" s="2"/>
      <c r="AN39" s="57"/>
      <c r="AO39" s="5"/>
      <c r="AP39" s="5"/>
      <c r="AQ39" s="2"/>
      <c r="AR39" s="57"/>
      <c r="AS39" s="5"/>
      <c r="AT39" s="5"/>
      <c r="AU39" s="23"/>
      <c r="AV39" s="23"/>
    </row>
    <row r="40" spans="1:49">
      <c r="A40" s="2">
        <v>41671</v>
      </c>
      <c r="B40">
        <f t="shared" si="1"/>
        <v>2014</v>
      </c>
      <c r="C40">
        <f t="shared" si="2"/>
        <v>2</v>
      </c>
      <c r="D40" s="69">
        <v>26203678.18999999</v>
      </c>
      <c r="E40" s="69">
        <v>170537.35727284456</v>
      </c>
      <c r="F40" s="69">
        <v>26374215.547272835</v>
      </c>
      <c r="G40" s="86">
        <v>681.0999999999998</v>
      </c>
      <c r="H40" s="63">
        <v>0</v>
      </c>
      <c r="I40" s="25">
        <v>28</v>
      </c>
      <c r="J40" s="25">
        <v>0</v>
      </c>
      <c r="K40" s="25">
        <v>0</v>
      </c>
      <c r="L40" s="30">
        <v>31341</v>
      </c>
      <c r="M40" s="87">
        <v>0</v>
      </c>
      <c r="N40" s="59">
        <v>0</v>
      </c>
      <c r="O40" s="25">
        <f t="shared" si="6"/>
        <v>24890034.735058695</v>
      </c>
      <c r="P40" s="65">
        <f t="shared" si="3"/>
        <v>24719497.37778585</v>
      </c>
      <c r="Q40" s="25">
        <f t="shared" si="4"/>
        <v>-1484180.8122141398</v>
      </c>
      <c r="R40" s="38">
        <f t="shared" si="5"/>
        <v>5.62739319982394E-2</v>
      </c>
      <c r="W40" s="64"/>
      <c r="AE40" s="2"/>
      <c r="AI40" s="2"/>
      <c r="AM40" s="2"/>
      <c r="AN40" s="57"/>
      <c r="AO40" s="5"/>
      <c r="AP40" s="5"/>
      <c r="AQ40" s="2"/>
      <c r="AR40" s="57"/>
      <c r="AS40" s="5"/>
      <c r="AT40" s="5"/>
      <c r="AU40" s="23"/>
      <c r="AV40" s="23"/>
    </row>
    <row r="41" spans="1:49">
      <c r="A41" s="2">
        <v>41699</v>
      </c>
      <c r="B41">
        <f t="shared" si="1"/>
        <v>2014</v>
      </c>
      <c r="C41">
        <f t="shared" si="2"/>
        <v>3</v>
      </c>
      <c r="D41" s="69">
        <v>23971257.690000013</v>
      </c>
      <c r="E41" s="69">
        <v>170537.35727284456</v>
      </c>
      <c r="F41" s="69">
        <v>24141795.047272857</v>
      </c>
      <c r="G41" s="86">
        <v>628.6</v>
      </c>
      <c r="H41" s="63">
        <v>0</v>
      </c>
      <c r="I41" s="25">
        <v>31</v>
      </c>
      <c r="J41" s="25">
        <v>1</v>
      </c>
      <c r="K41" s="25">
        <v>0</v>
      </c>
      <c r="L41" s="30">
        <v>31333</v>
      </c>
      <c r="M41" s="87">
        <v>0</v>
      </c>
      <c r="N41" s="59">
        <v>0</v>
      </c>
      <c r="O41" s="25">
        <f t="shared" si="6"/>
        <v>23339315.599054575</v>
      </c>
      <c r="P41" s="65">
        <f t="shared" si="3"/>
        <v>23168778.24178173</v>
      </c>
      <c r="Q41" s="25">
        <f t="shared" si="4"/>
        <v>-802479.44821828231</v>
      </c>
      <c r="R41" s="38">
        <f t="shared" si="5"/>
        <v>3.3240256022674386E-2</v>
      </c>
      <c r="AE41" s="2"/>
      <c r="AI41" s="2"/>
      <c r="AM41" s="2"/>
      <c r="AN41" s="57"/>
      <c r="AO41" s="5"/>
      <c r="AP41" s="5"/>
      <c r="AQ41" s="2"/>
      <c r="AR41" s="57"/>
      <c r="AS41" s="5"/>
      <c r="AT41" s="5"/>
      <c r="AU41" s="23"/>
      <c r="AV41" s="23"/>
    </row>
    <row r="42" spans="1:49">
      <c r="A42" s="2">
        <v>41730</v>
      </c>
      <c r="B42">
        <f t="shared" si="1"/>
        <v>2014</v>
      </c>
      <c r="C42">
        <f t="shared" si="2"/>
        <v>4</v>
      </c>
      <c r="D42" s="69">
        <v>21900568.520000003</v>
      </c>
      <c r="E42" s="69">
        <v>170537.35727284456</v>
      </c>
      <c r="F42" s="69">
        <v>22071105.877272848</v>
      </c>
      <c r="G42" s="86">
        <v>296.90000000000003</v>
      </c>
      <c r="H42" s="63">
        <v>0</v>
      </c>
      <c r="I42" s="25">
        <v>30</v>
      </c>
      <c r="J42" s="25">
        <v>1</v>
      </c>
      <c r="K42" s="25">
        <v>0</v>
      </c>
      <c r="L42" s="30">
        <v>31349</v>
      </c>
      <c r="M42" s="87">
        <v>0</v>
      </c>
      <c r="N42" s="59">
        <v>0</v>
      </c>
      <c r="O42" s="25">
        <f t="shared" si="6"/>
        <v>20052556.107214119</v>
      </c>
      <c r="P42" s="65">
        <f t="shared" si="3"/>
        <v>19882018.749941275</v>
      </c>
      <c r="Q42" s="25">
        <f t="shared" si="4"/>
        <v>-2018549.7700587288</v>
      </c>
      <c r="R42" s="38">
        <f t="shared" si="5"/>
        <v>9.1456666525136759E-2</v>
      </c>
      <c r="W42" s="64"/>
      <c r="AE42" s="2"/>
      <c r="AI42" s="2"/>
      <c r="AM42" s="2"/>
      <c r="AN42" s="57"/>
      <c r="AO42" s="5"/>
      <c r="AP42" s="5"/>
      <c r="AQ42" s="2"/>
      <c r="AR42" s="57"/>
      <c r="AS42" s="5"/>
      <c r="AT42" s="5"/>
      <c r="AU42" s="23"/>
      <c r="AV42" s="23"/>
    </row>
    <row r="43" spans="1:49">
      <c r="A43" s="2">
        <v>41760</v>
      </c>
      <c r="B43">
        <f t="shared" si="1"/>
        <v>2014</v>
      </c>
      <c r="C43">
        <f t="shared" si="2"/>
        <v>5</v>
      </c>
      <c r="D43" s="69">
        <v>20478356.049999967</v>
      </c>
      <c r="E43" s="69">
        <v>170537.35727284456</v>
      </c>
      <c r="F43" s="69">
        <v>20648893.407272812</v>
      </c>
      <c r="G43" s="86">
        <v>81.700000000000031</v>
      </c>
      <c r="H43" s="63">
        <v>23.500000000000004</v>
      </c>
      <c r="I43" s="25">
        <v>31</v>
      </c>
      <c r="J43" s="25">
        <v>1</v>
      </c>
      <c r="K43" s="25">
        <v>0</v>
      </c>
      <c r="L43" s="30">
        <v>31435</v>
      </c>
      <c r="M43" s="87">
        <v>0</v>
      </c>
      <c r="N43" s="59">
        <v>0</v>
      </c>
      <c r="O43" s="25">
        <f t="shared" si="6"/>
        <v>20461598.604590744</v>
      </c>
      <c r="P43" s="65">
        <f t="shared" si="3"/>
        <v>20291061.247317899</v>
      </c>
      <c r="Q43" s="25">
        <f t="shared" si="4"/>
        <v>-187294.8026820682</v>
      </c>
      <c r="R43" s="38">
        <f t="shared" si="5"/>
        <v>9.070452299206529E-3</v>
      </c>
      <c r="V43" s="64"/>
      <c r="W43" s="64"/>
      <c r="AE43" s="2"/>
      <c r="AI43" s="2"/>
      <c r="AM43" s="2"/>
      <c r="AN43" s="57"/>
      <c r="AO43" s="5"/>
      <c r="AP43" s="5"/>
      <c r="AQ43" s="2"/>
      <c r="AR43" s="57"/>
      <c r="AS43" s="5"/>
      <c r="AT43" s="5"/>
      <c r="AU43" s="23"/>
      <c r="AV43" s="23"/>
    </row>
    <row r="44" spans="1:49">
      <c r="A44" s="2">
        <v>41791</v>
      </c>
      <c r="B44">
        <f t="shared" si="1"/>
        <v>2014</v>
      </c>
      <c r="C44">
        <f t="shared" si="2"/>
        <v>6</v>
      </c>
      <c r="D44" s="69">
        <v>24401887.909999993</v>
      </c>
      <c r="E44" s="69">
        <v>170537.35727284456</v>
      </c>
      <c r="F44" s="69">
        <v>24572425.267272837</v>
      </c>
      <c r="G44" s="86">
        <v>2.7999999999999989</v>
      </c>
      <c r="H44" s="63">
        <v>116.8</v>
      </c>
      <c r="I44" s="25">
        <v>30</v>
      </c>
      <c r="J44" s="25">
        <v>0</v>
      </c>
      <c r="K44" s="25">
        <v>0</v>
      </c>
      <c r="L44" s="30">
        <v>31553</v>
      </c>
      <c r="M44" s="87">
        <v>0</v>
      </c>
      <c r="N44" s="59">
        <v>0</v>
      </c>
      <c r="O44" s="25">
        <f t="shared" si="6"/>
        <v>27482517.598324891</v>
      </c>
      <c r="P44" s="65">
        <f t="shared" si="3"/>
        <v>27311980.241052046</v>
      </c>
      <c r="Q44" s="25">
        <f t="shared" si="4"/>
        <v>2910092.3310520537</v>
      </c>
      <c r="R44" s="38">
        <f t="shared" si="5"/>
        <v>0.11842918635011193</v>
      </c>
      <c r="AE44" s="2"/>
      <c r="AI44" s="2"/>
      <c r="AM44" s="2"/>
      <c r="AN44" s="57"/>
      <c r="AO44" s="5"/>
      <c r="AP44" s="5"/>
      <c r="AQ44" s="2"/>
      <c r="AR44" s="57"/>
      <c r="AS44" s="5"/>
      <c r="AT44" s="5"/>
      <c r="AU44" s="23"/>
      <c r="AV44" s="23"/>
    </row>
    <row r="45" spans="1:49">
      <c r="A45" s="2">
        <v>41821</v>
      </c>
      <c r="B45">
        <f t="shared" si="1"/>
        <v>2014</v>
      </c>
      <c r="C45">
        <f t="shared" si="2"/>
        <v>7</v>
      </c>
      <c r="D45" s="69">
        <v>28438794.999999996</v>
      </c>
      <c r="E45" s="69">
        <v>170537.35727284456</v>
      </c>
      <c r="F45" s="69">
        <v>28609332.357272841</v>
      </c>
      <c r="G45" s="86">
        <v>0</v>
      </c>
      <c r="H45" s="63">
        <v>129</v>
      </c>
      <c r="I45" s="25">
        <v>31</v>
      </c>
      <c r="J45" s="25">
        <v>0</v>
      </c>
      <c r="K45" s="25">
        <v>0</v>
      </c>
      <c r="L45" s="30">
        <v>31756</v>
      </c>
      <c r="M45" s="87">
        <v>0</v>
      </c>
      <c r="N45" s="59">
        <v>0</v>
      </c>
      <c r="O45" s="25">
        <f t="shared" si="6"/>
        <v>29011148.186614685</v>
      </c>
      <c r="P45" s="65">
        <f t="shared" si="3"/>
        <v>28840610.82934184</v>
      </c>
      <c r="Q45" s="25">
        <f t="shared" si="4"/>
        <v>401815.82934184372</v>
      </c>
      <c r="R45" s="38">
        <f t="shared" si="5"/>
        <v>1.4044921577476003E-2</v>
      </c>
      <c r="W45" s="64"/>
      <c r="AE45" s="2"/>
      <c r="AI45" s="2"/>
      <c r="AM45" s="2"/>
      <c r="AN45" s="57"/>
      <c r="AO45" s="5"/>
      <c r="AP45" s="5"/>
      <c r="AQ45" s="2"/>
      <c r="AR45" s="57"/>
      <c r="AS45" s="5"/>
      <c r="AT45" s="5"/>
      <c r="AU45" s="23"/>
      <c r="AV45" s="23"/>
    </row>
    <row r="46" spans="1:49">
      <c r="A46" s="2">
        <v>41852</v>
      </c>
      <c r="B46">
        <f t="shared" si="1"/>
        <v>2014</v>
      </c>
      <c r="C46">
        <f t="shared" si="2"/>
        <v>8</v>
      </c>
      <c r="D46" s="69">
        <v>26308447.180000015</v>
      </c>
      <c r="E46" s="69">
        <v>170537.35727284456</v>
      </c>
      <c r="F46" s="69">
        <v>26478984.537272859</v>
      </c>
      <c r="G46" s="86">
        <v>1</v>
      </c>
      <c r="H46" s="63">
        <v>136</v>
      </c>
      <c r="I46" s="25">
        <v>31</v>
      </c>
      <c r="J46" s="25">
        <v>0</v>
      </c>
      <c r="K46" s="25">
        <v>0</v>
      </c>
      <c r="L46" s="30">
        <v>31837</v>
      </c>
      <c r="M46" s="87">
        <v>0</v>
      </c>
      <c r="N46" s="59">
        <v>0</v>
      </c>
      <c r="O46" s="25">
        <f t="shared" si="6"/>
        <v>29443312.92901884</v>
      </c>
      <c r="P46" s="65">
        <f t="shared" si="3"/>
        <v>29272775.571745995</v>
      </c>
      <c r="Q46" s="25">
        <f t="shared" si="4"/>
        <v>2964328.3917459808</v>
      </c>
      <c r="R46" s="38">
        <f t="shared" si="5"/>
        <v>0.11195022934407758</v>
      </c>
      <c r="W46" s="64"/>
      <c r="AE46" s="2"/>
      <c r="AI46" s="2"/>
      <c r="AM46" s="2"/>
      <c r="AN46" s="57"/>
      <c r="AO46" s="5"/>
      <c r="AP46" s="5"/>
      <c r="AQ46" s="2"/>
      <c r="AR46" s="57"/>
      <c r="AS46" s="5"/>
      <c r="AT46" s="5"/>
      <c r="AU46" s="23"/>
      <c r="AV46" s="23"/>
      <c r="AW46" s="23"/>
    </row>
    <row r="47" spans="1:49">
      <c r="A47" s="2">
        <v>41883</v>
      </c>
      <c r="B47">
        <f t="shared" si="1"/>
        <v>2014</v>
      </c>
      <c r="C47">
        <f t="shared" si="2"/>
        <v>9</v>
      </c>
      <c r="D47" s="69">
        <v>21592645.629999999</v>
      </c>
      <c r="E47" s="69">
        <v>170537.35727284456</v>
      </c>
      <c r="F47" s="69">
        <v>21763182.987272844</v>
      </c>
      <c r="G47" s="86">
        <v>39.299999999999997</v>
      </c>
      <c r="H47" s="63">
        <v>59.70000000000001</v>
      </c>
      <c r="I47" s="25">
        <v>30</v>
      </c>
      <c r="J47" s="25">
        <v>1</v>
      </c>
      <c r="K47" s="25">
        <v>1</v>
      </c>
      <c r="L47" s="30">
        <v>31970</v>
      </c>
      <c r="M47" s="87">
        <v>0</v>
      </c>
      <c r="N47" s="59">
        <v>0</v>
      </c>
      <c r="O47" s="25">
        <f t="shared" si="6"/>
        <v>23335851.094870463</v>
      </c>
      <c r="P47" s="65">
        <f t="shared" si="3"/>
        <v>23165313.737597618</v>
      </c>
      <c r="Q47" s="25">
        <f t="shared" si="4"/>
        <v>1572668.1075976193</v>
      </c>
      <c r="R47" s="38">
        <f t="shared" si="5"/>
        <v>7.2262780151107445E-2</v>
      </c>
      <c r="AE47" s="2"/>
      <c r="AI47" s="2"/>
      <c r="AM47" s="2"/>
      <c r="AN47" s="57"/>
      <c r="AO47" s="5"/>
      <c r="AP47" s="5"/>
      <c r="AQ47" s="2"/>
      <c r="AR47" s="57"/>
      <c r="AS47" s="5"/>
      <c r="AT47" s="5"/>
      <c r="AU47" s="23"/>
      <c r="AV47" s="23"/>
    </row>
    <row r="48" spans="1:49">
      <c r="A48" s="2">
        <v>41913</v>
      </c>
      <c r="B48">
        <f t="shared" si="1"/>
        <v>2014</v>
      </c>
      <c r="C48">
        <f t="shared" si="2"/>
        <v>10</v>
      </c>
      <c r="D48" s="69">
        <v>21211727.290000003</v>
      </c>
      <c r="E48" s="69">
        <v>170537.35727284456</v>
      </c>
      <c r="F48" s="69">
        <v>21382264.647272848</v>
      </c>
      <c r="G48" s="86">
        <v>167.3</v>
      </c>
      <c r="H48" s="63">
        <v>6.3000000000000007</v>
      </c>
      <c r="I48" s="25">
        <v>31</v>
      </c>
      <c r="J48" s="25">
        <v>1</v>
      </c>
      <c r="K48" s="25">
        <v>0</v>
      </c>
      <c r="L48" s="30">
        <v>32106</v>
      </c>
      <c r="M48" s="87">
        <v>0</v>
      </c>
      <c r="N48" s="59">
        <v>0</v>
      </c>
      <c r="O48" s="25">
        <f t="shared" si="6"/>
        <v>20712693.678554401</v>
      </c>
      <c r="P48" s="65">
        <f t="shared" si="3"/>
        <v>20542156.321281556</v>
      </c>
      <c r="Q48" s="25">
        <f t="shared" si="4"/>
        <v>-669570.96871844679</v>
      </c>
      <c r="R48" s="38">
        <f t="shared" si="5"/>
        <v>3.1314314913029835E-2</v>
      </c>
      <c r="W48" s="64"/>
      <c r="AE48" s="2"/>
      <c r="AI48" s="2"/>
      <c r="AM48" s="2"/>
      <c r="AN48" s="57"/>
      <c r="AO48" s="5"/>
      <c r="AP48" s="5"/>
      <c r="AQ48" s="2"/>
      <c r="AR48" s="57"/>
      <c r="AS48" s="5"/>
      <c r="AT48" s="5"/>
      <c r="AU48" s="23"/>
      <c r="AV48" s="23"/>
    </row>
    <row r="49" spans="1:48">
      <c r="A49" s="2">
        <v>41944</v>
      </c>
      <c r="B49">
        <f t="shared" si="1"/>
        <v>2014</v>
      </c>
      <c r="C49">
        <f t="shared" si="2"/>
        <v>11</v>
      </c>
      <c r="D49" s="69">
        <v>22391892.130000006</v>
      </c>
      <c r="E49" s="69">
        <v>170537.35727284456</v>
      </c>
      <c r="F49" s="69">
        <v>22562429.487272851</v>
      </c>
      <c r="G49" s="86">
        <v>422.10000000000008</v>
      </c>
      <c r="H49" s="63">
        <v>0</v>
      </c>
      <c r="I49" s="25">
        <v>30</v>
      </c>
      <c r="J49" s="25">
        <v>1</v>
      </c>
      <c r="K49" s="25">
        <v>0</v>
      </c>
      <c r="L49" s="30">
        <v>32208</v>
      </c>
      <c r="M49" s="87">
        <v>0</v>
      </c>
      <c r="N49" s="59">
        <v>0</v>
      </c>
      <c r="O49" s="25">
        <f t="shared" si="6"/>
        <v>21641164.901112128</v>
      </c>
      <c r="P49" s="65">
        <f t="shared" si="3"/>
        <v>21470627.543839283</v>
      </c>
      <c r="Q49" s="25">
        <f t="shared" si="4"/>
        <v>-921264.58616072312</v>
      </c>
      <c r="R49" s="38">
        <f t="shared" si="5"/>
        <v>4.0831799017051577E-2</v>
      </c>
      <c r="AE49" s="2"/>
      <c r="AI49" s="2"/>
      <c r="AM49" s="2"/>
      <c r="AN49" s="57"/>
      <c r="AO49" s="5"/>
      <c r="AP49" s="5"/>
      <c r="AQ49" s="2"/>
      <c r="AR49" s="57"/>
      <c r="AS49" s="5"/>
      <c r="AT49" s="5"/>
      <c r="AU49" s="23"/>
      <c r="AV49" s="23"/>
    </row>
    <row r="50" spans="1:48">
      <c r="A50" s="2">
        <v>41974</v>
      </c>
      <c r="B50">
        <f t="shared" si="1"/>
        <v>2014</v>
      </c>
      <c r="C50">
        <f t="shared" si="2"/>
        <v>12</v>
      </c>
      <c r="D50" s="69">
        <v>27503240.840000004</v>
      </c>
      <c r="E50" s="69">
        <v>170537.35727284456</v>
      </c>
      <c r="F50" s="69">
        <v>27673778.197272848</v>
      </c>
      <c r="G50" s="86">
        <v>495.30000000000007</v>
      </c>
      <c r="H50" s="63">
        <v>0</v>
      </c>
      <c r="I50" s="25">
        <v>31</v>
      </c>
      <c r="J50" s="25">
        <v>0</v>
      </c>
      <c r="K50" s="25">
        <v>0</v>
      </c>
      <c r="L50" s="30">
        <v>32268</v>
      </c>
      <c r="M50" s="87">
        <v>0</v>
      </c>
      <c r="N50" s="59">
        <v>0</v>
      </c>
      <c r="O50" s="25">
        <f t="shared" si="6"/>
        <v>26446802.323154278</v>
      </c>
      <c r="P50" s="65">
        <f t="shared" si="3"/>
        <v>26276264.965881433</v>
      </c>
      <c r="Q50" s="25">
        <f t="shared" si="4"/>
        <v>-1226975.8741185702</v>
      </c>
      <c r="R50" s="38">
        <f t="shared" si="5"/>
        <v>4.4337129009709424E-2</v>
      </c>
      <c r="AE50" s="2"/>
      <c r="AI50" s="2"/>
      <c r="AM50" s="2"/>
      <c r="AN50" s="57"/>
      <c r="AO50" s="5"/>
      <c r="AP50" s="5"/>
      <c r="AQ50" s="2"/>
      <c r="AR50" s="57"/>
      <c r="AS50" s="5"/>
      <c r="AT50" s="5"/>
      <c r="AU50" s="23"/>
      <c r="AV50" s="23"/>
    </row>
    <row r="51" spans="1:48">
      <c r="A51" s="2">
        <v>42005</v>
      </c>
      <c r="B51">
        <f t="shared" si="1"/>
        <v>2015</v>
      </c>
      <c r="C51">
        <f t="shared" si="2"/>
        <v>1</v>
      </c>
      <c r="D51" s="69">
        <v>27752175.363855418</v>
      </c>
      <c r="E51" s="69">
        <v>317002.07740110968</v>
      </c>
      <c r="F51" s="69">
        <v>28069177.441256527</v>
      </c>
      <c r="G51" s="86">
        <v>730.39999999999975</v>
      </c>
      <c r="H51" s="63">
        <v>0</v>
      </c>
      <c r="I51" s="25">
        <v>31</v>
      </c>
      <c r="J51" s="25">
        <v>0</v>
      </c>
      <c r="K51" s="25">
        <v>0</v>
      </c>
      <c r="L51" s="30">
        <v>32346</v>
      </c>
      <c r="M51" s="87">
        <v>0</v>
      </c>
      <c r="N51" s="59">
        <v>0</v>
      </c>
      <c r="O51" s="25">
        <f t="shared" si="6"/>
        <v>28300170.62340105</v>
      </c>
      <c r="P51" s="65">
        <f t="shared" si="3"/>
        <v>27983168.54599994</v>
      </c>
      <c r="Q51" s="25">
        <f t="shared" si="4"/>
        <v>230993.18214452267</v>
      </c>
      <c r="R51" s="38">
        <f t="shared" si="5"/>
        <v>8.2294247000271967E-3</v>
      </c>
      <c r="AE51" s="2"/>
      <c r="AI51" s="2"/>
      <c r="AM51" s="2"/>
      <c r="AN51" s="57"/>
      <c r="AO51" s="5"/>
      <c r="AP51" s="5"/>
      <c r="AQ51" s="2"/>
      <c r="AR51" s="57"/>
      <c r="AS51" s="5"/>
      <c r="AT51" s="5"/>
      <c r="AU51" s="23"/>
      <c r="AV51" s="23"/>
    </row>
    <row r="52" spans="1:48">
      <c r="A52" s="2">
        <v>42036</v>
      </c>
      <c r="B52">
        <f t="shared" si="1"/>
        <v>2015</v>
      </c>
      <c r="C52">
        <f t="shared" si="2"/>
        <v>2</v>
      </c>
      <c r="D52" s="69">
        <v>26390163.306024112</v>
      </c>
      <c r="E52" s="69">
        <v>317002.07740110968</v>
      </c>
      <c r="F52" s="69">
        <v>26707165.383425221</v>
      </c>
      <c r="G52" s="86">
        <v>800.8</v>
      </c>
      <c r="H52" s="63">
        <v>0</v>
      </c>
      <c r="I52" s="25">
        <v>28</v>
      </c>
      <c r="J52" s="25">
        <v>0</v>
      </c>
      <c r="K52" s="25">
        <v>0</v>
      </c>
      <c r="L52" s="30">
        <v>32433</v>
      </c>
      <c r="M52" s="87">
        <v>0</v>
      </c>
      <c r="N52" s="59">
        <v>0</v>
      </c>
      <c r="O52" s="25">
        <f t="shared" si="6"/>
        <v>26608106.318386339</v>
      </c>
      <c r="P52" s="65">
        <f t="shared" si="3"/>
        <v>26291104.24098523</v>
      </c>
      <c r="Q52" s="25">
        <f t="shared" si="4"/>
        <v>-99059.065038882196</v>
      </c>
      <c r="R52" s="38">
        <f t="shared" si="5"/>
        <v>3.7090819492344705E-3</v>
      </c>
      <c r="AE52" s="2"/>
      <c r="AI52" s="2"/>
      <c r="AM52" s="2"/>
      <c r="AN52" s="57"/>
      <c r="AO52" s="5"/>
      <c r="AP52" s="5"/>
      <c r="AQ52" s="2"/>
      <c r="AR52" s="57"/>
      <c r="AS52" s="5"/>
      <c r="AT52" s="5"/>
      <c r="AU52" s="23"/>
      <c r="AV52" s="23"/>
    </row>
    <row r="53" spans="1:48">
      <c r="A53" s="2">
        <v>42064</v>
      </c>
      <c r="B53">
        <f t="shared" si="1"/>
        <v>2015</v>
      </c>
      <c r="C53">
        <f t="shared" si="2"/>
        <v>3</v>
      </c>
      <c r="D53" s="69">
        <v>24161080.125301201</v>
      </c>
      <c r="E53" s="69">
        <v>317002.07740110968</v>
      </c>
      <c r="F53" s="69">
        <v>24478082.20270231</v>
      </c>
      <c r="G53" s="86">
        <v>553.5</v>
      </c>
      <c r="H53" s="63">
        <v>0</v>
      </c>
      <c r="I53" s="25">
        <v>31</v>
      </c>
      <c r="J53" s="25">
        <v>1</v>
      </c>
      <c r="K53" s="25">
        <v>0</v>
      </c>
      <c r="L53" s="30">
        <v>32524</v>
      </c>
      <c r="M53" s="87">
        <v>0</v>
      </c>
      <c r="N53" s="59">
        <v>0</v>
      </c>
      <c r="O53" s="25">
        <f t="shared" si="6"/>
        <v>23642141.013233732</v>
      </c>
      <c r="P53" s="65">
        <f t="shared" si="3"/>
        <v>23325138.935832623</v>
      </c>
      <c r="Q53" s="25">
        <f t="shared" si="4"/>
        <v>-835941.1894685775</v>
      </c>
      <c r="R53" s="38">
        <f t="shared" si="5"/>
        <v>3.4150599811953078E-2</v>
      </c>
      <c r="AE53" s="2"/>
      <c r="AI53" s="2"/>
      <c r="AM53" s="2"/>
      <c r="AN53" s="57"/>
      <c r="AO53" s="5"/>
      <c r="AP53" s="5"/>
      <c r="AQ53" s="2"/>
      <c r="AR53" s="57"/>
      <c r="AS53" s="5"/>
      <c r="AT53" s="5"/>
      <c r="AU53" s="23"/>
      <c r="AV53" s="23"/>
    </row>
    <row r="54" spans="1:48">
      <c r="A54" s="2">
        <v>42095</v>
      </c>
      <c r="B54">
        <f t="shared" si="1"/>
        <v>2015</v>
      </c>
      <c r="C54">
        <f t="shared" si="2"/>
        <v>4</v>
      </c>
      <c r="D54" s="69">
        <v>20359667.007228933</v>
      </c>
      <c r="E54" s="69">
        <v>317002.07740110968</v>
      </c>
      <c r="F54" s="69">
        <v>20676669.084630042</v>
      </c>
      <c r="G54" s="86">
        <v>253.70000000000002</v>
      </c>
      <c r="H54" s="63">
        <v>0</v>
      </c>
      <c r="I54" s="25">
        <v>30</v>
      </c>
      <c r="J54" s="25">
        <v>1</v>
      </c>
      <c r="K54" s="25">
        <v>0</v>
      </c>
      <c r="L54" s="30">
        <v>32605</v>
      </c>
      <c r="M54" s="87">
        <v>0</v>
      </c>
      <c r="N54" s="59">
        <v>0</v>
      </c>
      <c r="O54" s="25">
        <f t="shared" si="6"/>
        <v>20646907.570241757</v>
      </c>
      <c r="P54" s="65">
        <f t="shared" si="3"/>
        <v>20329905.492840648</v>
      </c>
      <c r="Q54" s="25">
        <f t="shared" si="4"/>
        <v>-29761.514388285577</v>
      </c>
      <c r="R54" s="38">
        <f t="shared" si="5"/>
        <v>1.4393766358822629E-3</v>
      </c>
      <c r="V54" s="64"/>
      <c r="AE54" s="2"/>
      <c r="AI54" s="2"/>
      <c r="AM54" s="2"/>
      <c r="AN54" s="57"/>
      <c r="AO54" s="5"/>
      <c r="AP54" s="5"/>
      <c r="AQ54" s="2"/>
      <c r="AR54" s="57"/>
      <c r="AS54" s="5"/>
      <c r="AT54" s="5"/>
      <c r="AU54" s="23"/>
      <c r="AV54" s="23"/>
    </row>
    <row r="55" spans="1:48">
      <c r="A55" s="2">
        <v>42125</v>
      </c>
      <c r="B55">
        <f t="shared" si="1"/>
        <v>2015</v>
      </c>
      <c r="C55">
        <f t="shared" si="2"/>
        <v>5</v>
      </c>
      <c r="D55" s="69">
        <v>21429091.180722896</v>
      </c>
      <c r="E55" s="69">
        <v>317002.07740110968</v>
      </c>
      <c r="F55" s="69">
        <v>21746093.258124005</v>
      </c>
      <c r="G55" s="86">
        <v>56.900000000000006</v>
      </c>
      <c r="H55" s="63">
        <v>63.7</v>
      </c>
      <c r="I55" s="25">
        <v>31</v>
      </c>
      <c r="J55" s="25">
        <v>1</v>
      </c>
      <c r="K55" s="25">
        <v>0</v>
      </c>
      <c r="L55" s="30">
        <v>32646</v>
      </c>
      <c r="M55" s="87">
        <v>0</v>
      </c>
      <c r="N55" s="59">
        <v>0</v>
      </c>
      <c r="O55" s="25">
        <f t="shared" si="6"/>
        <v>23259035.730630238</v>
      </c>
      <c r="P55" s="65">
        <f t="shared" si="3"/>
        <v>22942033.653229129</v>
      </c>
      <c r="Q55" s="25">
        <f t="shared" si="4"/>
        <v>1512942.4725062326</v>
      </c>
      <c r="R55" s="38">
        <f t="shared" si="5"/>
        <v>6.9573070185423788E-2</v>
      </c>
      <c r="AE55" s="2"/>
      <c r="AI55" s="2"/>
      <c r="AM55" s="2"/>
      <c r="AN55" s="57"/>
      <c r="AO55" s="5"/>
      <c r="AP55" s="5"/>
      <c r="AQ55" s="2"/>
      <c r="AR55" s="57"/>
      <c r="AS55" s="5"/>
      <c r="AT55" s="5"/>
      <c r="AU55" s="23"/>
      <c r="AV55" s="23"/>
    </row>
    <row r="56" spans="1:48">
      <c r="A56" s="2">
        <v>42156</v>
      </c>
      <c r="B56">
        <f t="shared" si="1"/>
        <v>2015</v>
      </c>
      <c r="C56">
        <f t="shared" si="2"/>
        <v>6</v>
      </c>
      <c r="D56" s="69">
        <v>24790300.809638564</v>
      </c>
      <c r="E56" s="69">
        <v>317002.07740110968</v>
      </c>
      <c r="F56" s="69">
        <v>25107302.887039673</v>
      </c>
      <c r="G56" s="86">
        <v>14.299999999999999</v>
      </c>
      <c r="H56" s="63">
        <v>72.800000000000011</v>
      </c>
      <c r="I56" s="25">
        <v>30</v>
      </c>
      <c r="J56" s="25">
        <v>0</v>
      </c>
      <c r="K56" s="25">
        <v>0</v>
      </c>
      <c r="L56" s="30">
        <v>32729</v>
      </c>
      <c r="M56" s="87">
        <v>0</v>
      </c>
      <c r="N56" s="59">
        <v>0</v>
      </c>
      <c r="O56" s="25">
        <f t="shared" si="6"/>
        <v>26142114.754289057</v>
      </c>
      <c r="P56" s="65">
        <f t="shared" si="3"/>
        <v>25825112.676887948</v>
      </c>
      <c r="Q56" s="25">
        <f t="shared" si="4"/>
        <v>1034811.8672493845</v>
      </c>
      <c r="R56" s="38">
        <f t="shared" si="5"/>
        <v>4.1215572692340115E-2</v>
      </c>
      <c r="AE56" s="2"/>
      <c r="AI56" s="2"/>
      <c r="AM56" s="2"/>
      <c r="AN56" s="57"/>
      <c r="AO56" s="5"/>
      <c r="AP56" s="5"/>
      <c r="AQ56" s="2"/>
      <c r="AR56" s="57"/>
      <c r="AS56" s="5"/>
      <c r="AT56" s="5"/>
      <c r="AU56" s="23"/>
      <c r="AV56" s="23"/>
    </row>
    <row r="57" spans="1:48">
      <c r="A57" s="2">
        <v>42186</v>
      </c>
      <c r="B57">
        <f t="shared" si="1"/>
        <v>2015</v>
      </c>
      <c r="C57">
        <f t="shared" si="2"/>
        <v>7</v>
      </c>
      <c r="D57" s="69">
        <v>31635963.15180723</v>
      </c>
      <c r="E57" s="69">
        <v>317002.07740110968</v>
      </c>
      <c r="F57" s="69">
        <v>31952965.229208339</v>
      </c>
      <c r="G57" s="86">
        <v>0</v>
      </c>
      <c r="H57" s="63">
        <v>172.30000000000004</v>
      </c>
      <c r="I57" s="25">
        <v>31</v>
      </c>
      <c r="J57" s="25">
        <v>0</v>
      </c>
      <c r="K57" s="25">
        <v>0</v>
      </c>
      <c r="L57" s="30">
        <v>32779</v>
      </c>
      <c r="M57" s="87">
        <v>0</v>
      </c>
      <c r="N57" s="59">
        <v>0</v>
      </c>
      <c r="O57" s="25">
        <f t="shared" si="6"/>
        <v>32021280.505708121</v>
      </c>
      <c r="P57" s="65">
        <f t="shared" si="3"/>
        <v>31704278.428307012</v>
      </c>
      <c r="Q57" s="25">
        <f t="shared" si="4"/>
        <v>68315.276499781758</v>
      </c>
      <c r="R57" s="38">
        <f t="shared" si="5"/>
        <v>2.1379948937363248E-3</v>
      </c>
      <c r="AE57" s="2"/>
      <c r="AI57" s="2"/>
      <c r="AM57" s="2"/>
      <c r="AN57" s="57"/>
      <c r="AO57" s="5"/>
      <c r="AP57" s="5"/>
      <c r="AQ57" s="2"/>
      <c r="AR57" s="57"/>
      <c r="AS57" s="5"/>
      <c r="AT57" s="5"/>
      <c r="AU57" s="23"/>
      <c r="AV57" s="23"/>
    </row>
    <row r="58" spans="1:48">
      <c r="A58" s="2">
        <v>42217</v>
      </c>
      <c r="B58">
        <f t="shared" si="1"/>
        <v>2015</v>
      </c>
      <c r="C58">
        <f t="shared" si="2"/>
        <v>8</v>
      </c>
      <c r="D58" s="69">
        <v>29263075.190361433</v>
      </c>
      <c r="E58" s="69">
        <v>317002.07740110968</v>
      </c>
      <c r="F58" s="69">
        <v>29580077.267762542</v>
      </c>
      <c r="G58" s="86">
        <v>0</v>
      </c>
      <c r="H58" s="63">
        <v>146.20000000000002</v>
      </c>
      <c r="I58" s="25">
        <v>31</v>
      </c>
      <c r="J58" s="25">
        <v>0</v>
      </c>
      <c r="K58" s="25">
        <v>0</v>
      </c>
      <c r="L58" s="30">
        <v>32817</v>
      </c>
      <c r="M58" s="87">
        <v>0</v>
      </c>
      <c r="N58" s="59">
        <v>0</v>
      </c>
      <c r="O58" s="25">
        <f t="shared" si="6"/>
        <v>30688642.572002001</v>
      </c>
      <c r="P58" s="65">
        <f t="shared" si="3"/>
        <v>30371640.494600892</v>
      </c>
      <c r="Q58" s="25">
        <f t="shared" si="4"/>
        <v>1108565.3042394593</v>
      </c>
      <c r="R58" s="38">
        <f t="shared" si="5"/>
        <v>3.7476754851063714E-2</v>
      </c>
      <c r="AE58" s="2"/>
      <c r="AI58" s="2"/>
      <c r="AM58" s="2"/>
      <c r="AN58" s="57"/>
      <c r="AO58" s="5"/>
      <c r="AP58" s="5"/>
      <c r="AQ58" s="2"/>
      <c r="AR58" s="57"/>
      <c r="AS58" s="5"/>
      <c r="AT58" s="5"/>
      <c r="AU58" s="23"/>
      <c r="AV58" s="23"/>
    </row>
    <row r="59" spans="1:48">
      <c r="A59" s="2">
        <v>42248</v>
      </c>
      <c r="B59">
        <f t="shared" si="1"/>
        <v>2015</v>
      </c>
      <c r="C59">
        <f t="shared" si="2"/>
        <v>9</v>
      </c>
      <c r="D59" s="69">
        <v>26291769.465060253</v>
      </c>
      <c r="E59" s="69">
        <v>317002.07740110968</v>
      </c>
      <c r="F59" s="69">
        <v>26608771.542461362</v>
      </c>
      <c r="G59" s="86">
        <v>12.9</v>
      </c>
      <c r="H59" s="63">
        <v>123.69999999999999</v>
      </c>
      <c r="I59" s="25">
        <v>30</v>
      </c>
      <c r="J59" s="25">
        <v>1</v>
      </c>
      <c r="K59" s="25">
        <v>1</v>
      </c>
      <c r="L59" s="30">
        <v>32876</v>
      </c>
      <c r="M59" s="87">
        <v>0</v>
      </c>
      <c r="N59" s="59">
        <v>0</v>
      </c>
      <c r="O59" s="25">
        <f t="shared" si="6"/>
        <v>27137302.863748789</v>
      </c>
      <c r="P59" s="65">
        <f t="shared" si="3"/>
        <v>26820300.78634768</v>
      </c>
      <c r="Q59" s="25">
        <f t="shared" si="4"/>
        <v>528531.3212874271</v>
      </c>
      <c r="R59" s="38">
        <f t="shared" si="5"/>
        <v>1.9863048560660346E-2</v>
      </c>
      <c r="AE59" s="2"/>
      <c r="AI59" s="2"/>
      <c r="AM59" s="2"/>
      <c r="AN59" s="57"/>
      <c r="AO59" s="5"/>
      <c r="AP59" s="5"/>
      <c r="AQ59" s="2"/>
      <c r="AR59" s="57"/>
      <c r="AS59" s="5"/>
      <c r="AT59" s="5"/>
      <c r="AU59" s="23"/>
      <c r="AV59" s="23"/>
    </row>
    <row r="60" spans="1:48">
      <c r="A60" s="2">
        <v>42278</v>
      </c>
      <c r="B60">
        <f t="shared" si="1"/>
        <v>2015</v>
      </c>
      <c r="C60">
        <f t="shared" si="2"/>
        <v>10</v>
      </c>
      <c r="D60" s="69">
        <v>21166911.199999988</v>
      </c>
      <c r="E60" s="69">
        <v>317002.07740110968</v>
      </c>
      <c r="F60" s="69">
        <v>21483913.277401097</v>
      </c>
      <c r="G60" s="86">
        <v>190.60000000000002</v>
      </c>
      <c r="H60" s="63">
        <v>2.7999999999999972</v>
      </c>
      <c r="I60" s="25">
        <v>31</v>
      </c>
      <c r="J60" s="25">
        <v>1</v>
      </c>
      <c r="K60" s="25">
        <v>0</v>
      </c>
      <c r="L60" s="30">
        <v>32908</v>
      </c>
      <c r="M60" s="87">
        <v>0</v>
      </c>
      <c r="N60" s="59">
        <v>0</v>
      </c>
      <c r="O60" s="25">
        <f t="shared" si="6"/>
        <v>21298467.229909103</v>
      </c>
      <c r="P60" s="65">
        <f t="shared" si="3"/>
        <v>20981465.152507994</v>
      </c>
      <c r="Q60" s="25">
        <f t="shared" si="4"/>
        <v>-185446.04749199376</v>
      </c>
      <c r="R60" s="38">
        <f t="shared" si="5"/>
        <v>8.631856082153536E-3</v>
      </c>
      <c r="AE60" s="2"/>
      <c r="AI60" s="2"/>
      <c r="AM60" s="2"/>
      <c r="AN60" s="57"/>
      <c r="AO60" s="5"/>
      <c r="AP60" s="5"/>
      <c r="AQ60" s="2"/>
      <c r="AR60" s="57"/>
      <c r="AS60" s="5"/>
      <c r="AT60" s="5"/>
      <c r="AU60" s="23"/>
      <c r="AV60" s="23"/>
    </row>
    <row r="61" spans="1:48">
      <c r="A61" s="2">
        <v>42309</v>
      </c>
      <c r="B61">
        <f t="shared" si="1"/>
        <v>2015</v>
      </c>
      <c r="C61">
        <f t="shared" si="2"/>
        <v>11</v>
      </c>
      <c r="D61" s="69">
        <v>19417085.089156609</v>
      </c>
      <c r="E61" s="69">
        <v>317002.07740110968</v>
      </c>
      <c r="F61" s="69">
        <v>19734087.166557718</v>
      </c>
      <c r="G61" s="86">
        <v>285</v>
      </c>
      <c r="H61" s="63">
        <v>0</v>
      </c>
      <c r="I61" s="25">
        <v>30</v>
      </c>
      <c r="J61" s="25">
        <v>1</v>
      </c>
      <c r="K61" s="25">
        <v>0</v>
      </c>
      <c r="L61" s="30">
        <v>32947</v>
      </c>
      <c r="M61" s="87">
        <v>0</v>
      </c>
      <c r="N61" s="59">
        <v>0</v>
      </c>
      <c r="O61" s="25">
        <f t="shared" si="6"/>
        <v>21137710.362795971</v>
      </c>
      <c r="P61" s="65">
        <f t="shared" si="3"/>
        <v>20820708.285394862</v>
      </c>
      <c r="Q61" s="25">
        <f t="shared" si="4"/>
        <v>1403623.1962382533</v>
      </c>
      <c r="R61" s="38">
        <f t="shared" si="5"/>
        <v>7.1126836746565961E-2</v>
      </c>
      <c r="AE61" s="2"/>
      <c r="AN61" s="5"/>
      <c r="AO61" s="5"/>
      <c r="AP61" s="5"/>
      <c r="AQ61" s="5"/>
      <c r="AR61" s="5"/>
      <c r="AS61" s="5"/>
      <c r="AU61" s="23"/>
      <c r="AV61" s="23"/>
    </row>
    <row r="62" spans="1:48">
      <c r="A62" s="2">
        <v>42339</v>
      </c>
      <c r="B62">
        <f t="shared" si="1"/>
        <v>2015</v>
      </c>
      <c r="C62">
        <f t="shared" si="2"/>
        <v>12</v>
      </c>
      <c r="D62" s="69">
        <v>23283597.985542178</v>
      </c>
      <c r="E62" s="69">
        <v>317002.07740110968</v>
      </c>
      <c r="F62" s="69">
        <v>23600600.062943287</v>
      </c>
      <c r="G62" s="86">
        <v>367.70000000000005</v>
      </c>
      <c r="H62" s="63">
        <v>0</v>
      </c>
      <c r="I62" s="25">
        <v>31</v>
      </c>
      <c r="J62" s="25">
        <v>0</v>
      </c>
      <c r="K62" s="25">
        <v>0</v>
      </c>
      <c r="L62" s="30">
        <v>33001</v>
      </c>
      <c r="M62" s="87">
        <v>0</v>
      </c>
      <c r="N62" s="59">
        <v>0</v>
      </c>
      <c r="O62" s="25">
        <f t="shared" si="6"/>
        <v>26011503.942464948</v>
      </c>
      <c r="P62" s="65">
        <f t="shared" si="3"/>
        <v>25694501.865063839</v>
      </c>
      <c r="Q62" s="25">
        <f t="shared" si="4"/>
        <v>2410903.8795216605</v>
      </c>
      <c r="R62" s="38">
        <f t="shared" si="5"/>
        <v>0.10215434663066744</v>
      </c>
      <c r="AE62" s="2"/>
      <c r="AN62" s="5"/>
      <c r="AO62" s="5"/>
      <c r="AP62" s="5"/>
      <c r="AQ62" s="5"/>
      <c r="AR62" s="5"/>
    </row>
    <row r="63" spans="1:48">
      <c r="A63" s="2">
        <v>42370</v>
      </c>
      <c r="B63">
        <f t="shared" si="1"/>
        <v>2016</v>
      </c>
      <c r="C63">
        <f t="shared" si="2"/>
        <v>1</v>
      </c>
      <c r="D63" s="69">
        <v>25985111.093975894</v>
      </c>
      <c r="E63" s="69">
        <v>503439.62575630058</v>
      </c>
      <c r="F63" s="69">
        <v>26488550.719732195</v>
      </c>
      <c r="G63" s="86">
        <v>608.4</v>
      </c>
      <c r="H63" s="63">
        <v>0</v>
      </c>
      <c r="I63" s="25">
        <v>31</v>
      </c>
      <c r="J63" s="25">
        <v>0</v>
      </c>
      <c r="K63" s="25">
        <v>0</v>
      </c>
      <c r="L63" s="30">
        <v>33068</v>
      </c>
      <c r="M63" s="87">
        <v>0</v>
      </c>
      <c r="N63" s="59">
        <v>0</v>
      </c>
      <c r="O63" s="25">
        <f t="shared" si="6"/>
        <v>27899555.936894018</v>
      </c>
      <c r="P63" s="65">
        <f t="shared" si="3"/>
        <v>27396116.311137717</v>
      </c>
      <c r="Q63" s="25">
        <f t="shared" si="4"/>
        <v>1411005.2171618231</v>
      </c>
      <c r="R63" s="38">
        <f t="shared" si="5"/>
        <v>5.326849445601109E-2</v>
      </c>
    </row>
    <row r="64" spans="1:48">
      <c r="A64" s="2">
        <v>42401</v>
      </c>
      <c r="B64">
        <f t="shared" si="1"/>
        <v>2016</v>
      </c>
      <c r="C64">
        <f t="shared" si="2"/>
        <v>2</v>
      </c>
      <c r="D64" s="69">
        <v>24520177.522891562</v>
      </c>
      <c r="E64" s="69">
        <v>503439.62575630058</v>
      </c>
      <c r="F64" s="69">
        <v>25023617.148647863</v>
      </c>
      <c r="G64" s="86">
        <v>530.40000000000009</v>
      </c>
      <c r="H64" s="63">
        <v>0</v>
      </c>
      <c r="I64" s="25">
        <v>29</v>
      </c>
      <c r="J64" s="25">
        <v>0</v>
      </c>
      <c r="K64" s="25">
        <v>0</v>
      </c>
      <c r="L64" s="30">
        <v>33176</v>
      </c>
      <c r="M64" s="87">
        <v>0</v>
      </c>
      <c r="N64" s="59">
        <v>0</v>
      </c>
      <c r="O64" s="25">
        <f t="shared" si="6"/>
        <v>25853926.76227697</v>
      </c>
      <c r="P64" s="65">
        <f t="shared" si="3"/>
        <v>25350487.136520669</v>
      </c>
      <c r="Q64" s="25">
        <f t="shared" si="4"/>
        <v>830309.61362910643</v>
      </c>
      <c r="R64" s="38">
        <f t="shared" si="5"/>
        <v>3.3181038884059641E-2</v>
      </c>
    </row>
    <row r="65" spans="1:32">
      <c r="A65" s="2">
        <v>42430</v>
      </c>
      <c r="B65">
        <f t="shared" si="1"/>
        <v>2016</v>
      </c>
      <c r="C65">
        <f t="shared" si="2"/>
        <v>3</v>
      </c>
      <c r="D65" s="69">
        <v>22958336.693975914</v>
      </c>
      <c r="E65" s="69">
        <v>503439.62575630058</v>
      </c>
      <c r="F65" s="69">
        <v>23461776.319732215</v>
      </c>
      <c r="G65" s="86">
        <v>414.0999999999998</v>
      </c>
      <c r="H65" s="63">
        <v>0</v>
      </c>
      <c r="I65" s="25">
        <v>31</v>
      </c>
      <c r="J65" s="25">
        <v>1</v>
      </c>
      <c r="K65" s="25">
        <v>0</v>
      </c>
      <c r="L65" s="30">
        <v>33263</v>
      </c>
      <c r="M65" s="87">
        <v>0</v>
      </c>
      <c r="N65" s="59">
        <v>0</v>
      </c>
      <c r="O65" s="25">
        <f t="shared" si="6"/>
        <v>23121116.435309075</v>
      </c>
      <c r="P65" s="65">
        <f t="shared" si="3"/>
        <v>22617676.809552774</v>
      </c>
      <c r="Q65" s="25">
        <f t="shared" si="4"/>
        <v>-340659.88442314044</v>
      </c>
      <c r="R65" s="38">
        <f t="shared" si="5"/>
        <v>1.4519782295283114E-2</v>
      </c>
    </row>
    <row r="66" spans="1:32">
      <c r="A66" s="2">
        <v>42461</v>
      </c>
      <c r="B66">
        <f t="shared" si="1"/>
        <v>2016</v>
      </c>
      <c r="C66">
        <f t="shared" si="2"/>
        <v>4</v>
      </c>
      <c r="D66" s="69">
        <v>21632719.643373489</v>
      </c>
      <c r="E66" s="69">
        <v>503439.62575630058</v>
      </c>
      <c r="F66" s="69">
        <v>22136159.26912979</v>
      </c>
      <c r="G66" s="86">
        <v>335.1</v>
      </c>
      <c r="H66" s="63">
        <v>0.30000000000000071</v>
      </c>
      <c r="I66" s="25">
        <v>30</v>
      </c>
      <c r="J66" s="25">
        <v>1</v>
      </c>
      <c r="K66" s="25">
        <v>0</v>
      </c>
      <c r="L66" s="30">
        <v>33437</v>
      </c>
      <c r="M66" s="87">
        <v>0</v>
      </c>
      <c r="N66" s="59">
        <v>0</v>
      </c>
      <c r="O66" s="25">
        <f t="shared" si="6"/>
        <v>21896689.973952439</v>
      </c>
      <c r="P66" s="65">
        <f t="shared" si="3"/>
        <v>21393250.348196138</v>
      </c>
      <c r="Q66" s="25">
        <f t="shared" si="4"/>
        <v>-239469.29517735168</v>
      </c>
      <c r="R66" s="38">
        <f t="shared" si="5"/>
        <v>1.0818014645896863E-2</v>
      </c>
    </row>
    <row r="67" spans="1:32">
      <c r="A67" s="2">
        <v>42491</v>
      </c>
      <c r="B67">
        <f t="shared" si="1"/>
        <v>2016</v>
      </c>
      <c r="C67">
        <f t="shared" si="2"/>
        <v>5</v>
      </c>
      <c r="D67" s="69">
        <v>20564699.585542157</v>
      </c>
      <c r="E67" s="69">
        <v>503439.62575630058</v>
      </c>
      <c r="F67" s="69">
        <v>21068139.211298458</v>
      </c>
      <c r="G67" s="86">
        <v>102.19999999999999</v>
      </c>
      <c r="H67" s="63">
        <v>58.6</v>
      </c>
      <c r="I67" s="25">
        <v>31</v>
      </c>
      <c r="J67" s="25">
        <v>1</v>
      </c>
      <c r="K67" s="25">
        <v>0</v>
      </c>
      <c r="L67" s="30">
        <v>33518</v>
      </c>
      <c r="M67" s="87">
        <v>0</v>
      </c>
      <c r="N67" s="59">
        <v>0</v>
      </c>
      <c r="O67" s="25">
        <f t="shared" si="6"/>
        <v>23980978.86271951</v>
      </c>
      <c r="P67" s="65">
        <f t="shared" si="3"/>
        <v>23477539.236963209</v>
      </c>
      <c r="Q67" s="25">
        <f t="shared" si="4"/>
        <v>2912839.6514210515</v>
      </c>
      <c r="R67" s="38">
        <f t="shared" si="5"/>
        <v>0.13825804083632354</v>
      </c>
    </row>
    <row r="68" spans="1:32">
      <c r="A68" s="2">
        <v>42522</v>
      </c>
      <c r="B68">
        <f t="shared" ref="B68:B127" si="7">YEAR(A68)</f>
        <v>2016</v>
      </c>
      <c r="C68">
        <f t="shared" ref="C68:C127" si="8">MONTH(A68)</f>
        <v>6</v>
      </c>
      <c r="D68" s="69">
        <v>29990486.101204813</v>
      </c>
      <c r="E68" s="69">
        <v>503439.62575630058</v>
      </c>
      <c r="F68" s="69">
        <v>30493925.726961114</v>
      </c>
      <c r="G68" s="86">
        <v>9.1999999999999993</v>
      </c>
      <c r="H68" s="63">
        <v>128.70000000000002</v>
      </c>
      <c r="I68" s="25">
        <v>30</v>
      </c>
      <c r="J68" s="25">
        <v>0</v>
      </c>
      <c r="K68" s="25">
        <v>0</v>
      </c>
      <c r="L68" s="30">
        <v>33555</v>
      </c>
      <c r="M68" s="87">
        <v>0</v>
      </c>
      <c r="N68" s="59">
        <v>0</v>
      </c>
      <c r="O68" s="25">
        <f t="shared" si="6"/>
        <v>29625147.253945146</v>
      </c>
      <c r="P68" s="65">
        <f t="shared" ref="P68:P127" si="9">O68-E68</f>
        <v>29121707.628188845</v>
      </c>
      <c r="Q68" s="25">
        <f t="shared" ref="Q68:Q127" si="10">+O68-F68</f>
        <v>-868778.47301596776</v>
      </c>
      <c r="R68" s="38">
        <f t="shared" ref="R68:R127" si="11">ABS(Q68/F68)</f>
        <v>2.8490214110013387E-2</v>
      </c>
      <c r="AE68"/>
      <c r="AF68"/>
    </row>
    <row r="69" spans="1:32">
      <c r="A69" s="2">
        <v>42552</v>
      </c>
      <c r="B69">
        <f t="shared" si="7"/>
        <v>2016</v>
      </c>
      <c r="C69">
        <f t="shared" si="8"/>
        <v>7</v>
      </c>
      <c r="D69" s="69">
        <v>35728630.342168637</v>
      </c>
      <c r="E69" s="69">
        <v>503439.62575630058</v>
      </c>
      <c r="F69" s="69">
        <v>36232069.967924938</v>
      </c>
      <c r="G69" s="86">
        <v>0</v>
      </c>
      <c r="H69" s="63">
        <v>238.9</v>
      </c>
      <c r="I69" s="25">
        <v>31</v>
      </c>
      <c r="J69" s="25">
        <v>0</v>
      </c>
      <c r="K69" s="25">
        <v>0</v>
      </c>
      <c r="L69" s="30">
        <v>33585</v>
      </c>
      <c r="M69" s="87">
        <v>0</v>
      </c>
      <c r="N69" s="59">
        <v>0</v>
      </c>
      <c r="O69" s="25">
        <f t="shared" si="6"/>
        <v>36086349.148568392</v>
      </c>
      <c r="P69" s="65">
        <f t="shared" si="9"/>
        <v>35582909.522812091</v>
      </c>
      <c r="Q69" s="25">
        <f t="shared" si="10"/>
        <v>-145720.81935654581</v>
      </c>
      <c r="R69" s="38">
        <f t="shared" si="11"/>
        <v>4.0218739775438632E-3</v>
      </c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</row>
    <row r="70" spans="1:32">
      <c r="A70" s="2">
        <v>42583</v>
      </c>
      <c r="B70">
        <f t="shared" si="7"/>
        <v>2016</v>
      </c>
      <c r="C70">
        <f t="shared" si="8"/>
        <v>8</v>
      </c>
      <c r="D70" s="69">
        <v>36163152.231325291</v>
      </c>
      <c r="E70" s="69">
        <v>503439.62575630058</v>
      </c>
      <c r="F70" s="69">
        <v>36666591.857081592</v>
      </c>
      <c r="G70" s="86">
        <v>0</v>
      </c>
      <c r="H70" s="63">
        <v>257.40000000000003</v>
      </c>
      <c r="I70" s="25">
        <v>31</v>
      </c>
      <c r="J70" s="25">
        <v>0</v>
      </c>
      <c r="K70" s="25">
        <v>0</v>
      </c>
      <c r="L70" s="30">
        <v>33654</v>
      </c>
      <c r="M70" s="87">
        <v>0</v>
      </c>
      <c r="N70" s="59">
        <v>0</v>
      </c>
      <c r="O70" s="25">
        <f t="shared" si="6"/>
        <v>37101543.240568228</v>
      </c>
      <c r="P70" s="65">
        <f t="shared" si="9"/>
        <v>36598103.614811927</v>
      </c>
      <c r="Q70" s="25">
        <f t="shared" si="10"/>
        <v>434951.38348663598</v>
      </c>
      <c r="R70" s="38">
        <f t="shared" si="11"/>
        <v>1.1862334660990091E-2</v>
      </c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</row>
    <row r="71" spans="1:32">
      <c r="A71" s="2">
        <v>42614</v>
      </c>
      <c r="B71">
        <f t="shared" si="7"/>
        <v>2016</v>
      </c>
      <c r="C71">
        <f t="shared" si="8"/>
        <v>9</v>
      </c>
      <c r="D71" s="69">
        <v>26948392.906024113</v>
      </c>
      <c r="E71" s="69">
        <v>503439.62575630058</v>
      </c>
      <c r="F71" s="69">
        <v>27451832.531780414</v>
      </c>
      <c r="G71" s="86">
        <v>8.3999999999999986</v>
      </c>
      <c r="H71" s="63">
        <v>111.89999999999999</v>
      </c>
      <c r="I71" s="25">
        <v>30</v>
      </c>
      <c r="J71" s="25">
        <v>1</v>
      </c>
      <c r="K71" s="25">
        <v>1</v>
      </c>
      <c r="L71" s="30">
        <v>33716</v>
      </c>
      <c r="M71" s="87">
        <v>0</v>
      </c>
      <c r="N71" s="59">
        <v>0</v>
      </c>
      <c r="O71" s="25">
        <f t="shared" si="6"/>
        <v>27105991.896283992</v>
      </c>
      <c r="P71" s="65">
        <f t="shared" si="9"/>
        <v>26602552.270527691</v>
      </c>
      <c r="Q71" s="25">
        <f t="shared" si="10"/>
        <v>-345840.63549642265</v>
      </c>
      <c r="R71" s="38">
        <f t="shared" si="11"/>
        <v>1.2598089220311619E-2</v>
      </c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</row>
    <row r="72" spans="1:32">
      <c r="A72" s="2">
        <v>42644</v>
      </c>
      <c r="B72">
        <f t="shared" si="7"/>
        <v>2016</v>
      </c>
      <c r="C72">
        <f t="shared" si="8"/>
        <v>10</v>
      </c>
      <c r="D72" s="69">
        <v>19412813.638554234</v>
      </c>
      <c r="E72" s="69">
        <v>503439.62575630058</v>
      </c>
      <c r="F72" s="69">
        <v>19916253.264310535</v>
      </c>
      <c r="G72" s="86">
        <v>144.70000000000002</v>
      </c>
      <c r="H72" s="63">
        <v>16.600000000000005</v>
      </c>
      <c r="I72" s="25">
        <v>31</v>
      </c>
      <c r="J72" s="25">
        <v>1</v>
      </c>
      <c r="K72" s="25">
        <v>0</v>
      </c>
      <c r="L72" s="30">
        <v>33751</v>
      </c>
      <c r="M72" s="87">
        <v>0</v>
      </c>
      <c r="N72" s="59">
        <v>0</v>
      </c>
      <c r="O72" s="25">
        <f t="shared" si="6"/>
        <v>22287642.524561655</v>
      </c>
      <c r="P72" s="65">
        <f t="shared" si="9"/>
        <v>21784202.898805354</v>
      </c>
      <c r="Q72" s="25">
        <f t="shared" si="10"/>
        <v>2371389.2602511197</v>
      </c>
      <c r="R72" s="38">
        <f t="shared" si="11"/>
        <v>0.11906804100049252</v>
      </c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</row>
    <row r="73" spans="1:32">
      <c r="A73" s="2">
        <v>42675</v>
      </c>
      <c r="B73">
        <f t="shared" si="7"/>
        <v>2016</v>
      </c>
      <c r="C73">
        <f t="shared" si="8"/>
        <v>11</v>
      </c>
      <c r="D73" s="69">
        <v>19369741.908433728</v>
      </c>
      <c r="E73" s="69">
        <v>503439.62575630058</v>
      </c>
      <c r="F73" s="69">
        <v>19873181.534190029</v>
      </c>
      <c r="G73" s="86">
        <v>277.79999999999995</v>
      </c>
      <c r="H73" s="63">
        <v>0</v>
      </c>
      <c r="I73" s="25">
        <v>30</v>
      </c>
      <c r="J73" s="25">
        <v>1</v>
      </c>
      <c r="K73" s="25">
        <v>0</v>
      </c>
      <c r="L73" s="30">
        <v>33815</v>
      </c>
      <c r="M73" s="87">
        <v>0</v>
      </c>
      <c r="N73" s="59">
        <v>0</v>
      </c>
      <c r="O73" s="25">
        <f t="shared" si="6"/>
        <v>21721519.624712545</v>
      </c>
      <c r="P73" s="65">
        <f t="shared" si="9"/>
        <v>21218079.998956244</v>
      </c>
      <c r="Q73" s="25">
        <f t="shared" si="10"/>
        <v>1848338.0905225165</v>
      </c>
      <c r="R73" s="38">
        <f t="shared" si="11"/>
        <v>9.3006652575613843E-2</v>
      </c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</row>
    <row r="74" spans="1:32">
      <c r="A74" s="2">
        <v>42705</v>
      </c>
      <c r="B74">
        <f t="shared" si="7"/>
        <v>2016</v>
      </c>
      <c r="C74">
        <f t="shared" si="8"/>
        <v>12</v>
      </c>
      <c r="D74" s="69">
        <v>27474754.322891567</v>
      </c>
      <c r="E74" s="69">
        <v>503439.62575630058</v>
      </c>
      <c r="F74" s="69">
        <v>27978193.948647868</v>
      </c>
      <c r="G74" s="86">
        <v>545.99999999999989</v>
      </c>
      <c r="H74" s="63">
        <v>0</v>
      </c>
      <c r="I74" s="25">
        <v>31</v>
      </c>
      <c r="J74" s="25">
        <v>0</v>
      </c>
      <c r="K74" s="25">
        <v>0</v>
      </c>
      <c r="L74" s="30">
        <v>33857</v>
      </c>
      <c r="M74" s="87">
        <v>0</v>
      </c>
      <c r="N74" s="59">
        <v>0</v>
      </c>
      <c r="O74" s="25">
        <f t="shared" ref="O74:O137" si="12">$T$19+G74*$T$20+H74*$T$21+I74*$T$22+J74*$T$23+K74*$T$24+L74*$T$25</f>
        <v>28003543.604337748</v>
      </c>
      <c r="P74" s="65">
        <f t="shared" si="9"/>
        <v>27500103.978581447</v>
      </c>
      <c r="Q74" s="25">
        <f t="shared" si="10"/>
        <v>25349.655689880252</v>
      </c>
      <c r="R74" s="38">
        <f t="shared" si="11"/>
        <v>9.0605046688888762E-4</v>
      </c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</row>
    <row r="75" spans="1:32">
      <c r="A75" s="2">
        <v>42736</v>
      </c>
      <c r="B75">
        <f t="shared" si="7"/>
        <v>2017</v>
      </c>
      <c r="C75">
        <f t="shared" si="8"/>
        <v>1</v>
      </c>
      <c r="D75" s="69">
        <v>26135142.110843364</v>
      </c>
      <c r="E75" s="69">
        <v>958479.98780037428</v>
      </c>
      <c r="F75" s="69">
        <v>27093622.098643739</v>
      </c>
      <c r="G75" s="86">
        <v>546.9</v>
      </c>
      <c r="H75" s="63">
        <v>0</v>
      </c>
      <c r="I75" s="25">
        <v>31</v>
      </c>
      <c r="J75" s="25">
        <v>0</v>
      </c>
      <c r="K75" s="25">
        <v>0</v>
      </c>
      <c r="L75" s="30">
        <v>33886</v>
      </c>
      <c r="M75" s="87">
        <v>0</v>
      </c>
      <c r="N75" s="59">
        <v>0</v>
      </c>
      <c r="O75" s="25">
        <f t="shared" si="12"/>
        <v>28031761.605230484</v>
      </c>
      <c r="P75" s="65">
        <f t="shared" si="9"/>
        <v>27073281.61743011</v>
      </c>
      <c r="Q75" s="25">
        <f t="shared" si="10"/>
        <v>938139.50658674538</v>
      </c>
      <c r="R75" s="38">
        <f t="shared" si="11"/>
        <v>3.4625843055281526E-2</v>
      </c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</row>
    <row r="76" spans="1:32">
      <c r="A76" s="2">
        <v>42767</v>
      </c>
      <c r="B76">
        <f t="shared" si="7"/>
        <v>2017</v>
      </c>
      <c r="C76">
        <f t="shared" si="8"/>
        <v>2</v>
      </c>
      <c r="D76" s="69">
        <v>22110279.383132529</v>
      </c>
      <c r="E76" s="69">
        <v>958479.98780037428</v>
      </c>
      <c r="F76" s="69">
        <v>23068759.370932903</v>
      </c>
      <c r="G76" s="86">
        <v>454.4</v>
      </c>
      <c r="H76" s="63">
        <v>0</v>
      </c>
      <c r="I76" s="25">
        <v>28</v>
      </c>
      <c r="J76" s="25">
        <v>0</v>
      </c>
      <c r="K76" s="25">
        <v>0</v>
      </c>
      <c r="L76" s="30">
        <v>33938</v>
      </c>
      <c r="M76" s="87">
        <v>0</v>
      </c>
      <c r="N76" s="59">
        <v>0</v>
      </c>
      <c r="O76" s="25">
        <f t="shared" si="12"/>
        <v>25069521.633967914</v>
      </c>
      <c r="P76" s="65">
        <f t="shared" si="9"/>
        <v>24111041.646167539</v>
      </c>
      <c r="Q76" s="25">
        <f t="shared" si="10"/>
        <v>2000762.2630350105</v>
      </c>
      <c r="R76" s="38">
        <f t="shared" si="11"/>
        <v>8.673037985545122E-2</v>
      </c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</row>
    <row r="77" spans="1:32">
      <c r="A77" s="2">
        <v>42795</v>
      </c>
      <c r="B77">
        <f t="shared" si="7"/>
        <v>2017</v>
      </c>
      <c r="C77">
        <f t="shared" si="8"/>
        <v>3</v>
      </c>
      <c r="D77" s="69">
        <v>24430975.248192772</v>
      </c>
      <c r="E77" s="69">
        <v>958479.98780037428</v>
      </c>
      <c r="F77" s="69">
        <v>25389455.235993147</v>
      </c>
      <c r="G77" s="86">
        <v>512</v>
      </c>
      <c r="H77" s="63">
        <v>0</v>
      </c>
      <c r="I77" s="25">
        <v>31</v>
      </c>
      <c r="J77" s="25">
        <v>1</v>
      </c>
      <c r="K77" s="25">
        <v>0</v>
      </c>
      <c r="L77" s="30">
        <v>33998</v>
      </c>
      <c r="M77" s="87">
        <v>0</v>
      </c>
      <c r="N77" s="59">
        <v>0</v>
      </c>
      <c r="O77" s="25">
        <f t="shared" si="12"/>
        <v>24409917.76605339</v>
      </c>
      <c r="P77" s="65">
        <f t="shared" si="9"/>
        <v>23451437.778253015</v>
      </c>
      <c r="Q77" s="25">
        <f t="shared" si="10"/>
        <v>-979537.46993975714</v>
      </c>
      <c r="R77" s="38">
        <f t="shared" si="11"/>
        <v>3.8580483938510192E-2</v>
      </c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</row>
    <row r="78" spans="1:32">
      <c r="A78" s="2">
        <v>42826</v>
      </c>
      <c r="B78">
        <f t="shared" si="7"/>
        <v>2017</v>
      </c>
      <c r="C78">
        <f t="shared" si="8"/>
        <v>4</v>
      </c>
      <c r="D78" s="69">
        <v>19400096.75180722</v>
      </c>
      <c r="E78" s="69">
        <v>958479.98780037428</v>
      </c>
      <c r="F78" s="69">
        <v>20358576.739607595</v>
      </c>
      <c r="G78" s="86">
        <v>199.7</v>
      </c>
      <c r="H78" s="63">
        <v>2.1999999999999993</v>
      </c>
      <c r="I78" s="25">
        <v>30</v>
      </c>
      <c r="J78" s="25">
        <v>1</v>
      </c>
      <c r="K78" s="25">
        <v>0</v>
      </c>
      <c r="L78" s="30">
        <v>34086</v>
      </c>
      <c r="M78" s="87">
        <v>0</v>
      </c>
      <c r="N78" s="59">
        <v>0</v>
      </c>
      <c r="O78" s="25">
        <f t="shared" si="12"/>
        <v>21439033.634106979</v>
      </c>
      <c r="P78" s="65">
        <f t="shared" si="9"/>
        <v>20480553.646306604</v>
      </c>
      <c r="Q78" s="25">
        <f t="shared" si="10"/>
        <v>1080456.8944993839</v>
      </c>
      <c r="R78" s="38">
        <f t="shared" si="11"/>
        <v>5.307133736895054E-2</v>
      </c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</row>
    <row r="79" spans="1:32">
      <c r="A79" s="2">
        <v>42856</v>
      </c>
      <c r="B79">
        <f t="shared" si="7"/>
        <v>2017</v>
      </c>
      <c r="C79">
        <f t="shared" si="8"/>
        <v>5</v>
      </c>
      <c r="D79" s="69">
        <v>20438887.527710862</v>
      </c>
      <c r="E79" s="69">
        <v>958479.98780037428</v>
      </c>
      <c r="F79" s="69">
        <v>21397367.515511237</v>
      </c>
      <c r="G79" s="86">
        <v>125.89999999999998</v>
      </c>
      <c r="H79" s="63">
        <v>19.900000000000002</v>
      </c>
      <c r="I79" s="25">
        <v>31</v>
      </c>
      <c r="J79" s="25">
        <v>1</v>
      </c>
      <c r="K79" s="25">
        <v>0</v>
      </c>
      <c r="L79" s="30">
        <v>34202</v>
      </c>
      <c r="M79" s="87">
        <v>0</v>
      </c>
      <c r="N79" s="59">
        <v>0</v>
      </c>
      <c r="O79" s="25">
        <f t="shared" si="12"/>
        <v>22647973.820129253</v>
      </c>
      <c r="P79" s="65">
        <f t="shared" si="9"/>
        <v>21689493.832328878</v>
      </c>
      <c r="Q79" s="25">
        <f t="shared" si="10"/>
        <v>1250606.3046180159</v>
      </c>
      <c r="R79" s="38">
        <f t="shared" si="11"/>
        <v>5.8446736670360717E-2</v>
      </c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</row>
    <row r="80" spans="1:32">
      <c r="A80" s="2">
        <v>42887</v>
      </c>
      <c r="B80">
        <f t="shared" si="7"/>
        <v>2017</v>
      </c>
      <c r="C80">
        <f t="shared" si="8"/>
        <v>6</v>
      </c>
      <c r="D80" s="69">
        <v>27578153.118072305</v>
      </c>
      <c r="E80" s="69">
        <v>958479.98780037428</v>
      </c>
      <c r="F80" s="69">
        <v>28536633.10587268</v>
      </c>
      <c r="G80" s="86">
        <v>8.8000000000000007</v>
      </c>
      <c r="H80" s="63">
        <v>110.30000000000001</v>
      </c>
      <c r="I80" s="25">
        <v>30</v>
      </c>
      <c r="J80" s="25">
        <v>0</v>
      </c>
      <c r="K80" s="25">
        <v>0</v>
      </c>
      <c r="L80" s="30">
        <v>34272</v>
      </c>
      <c r="M80" s="87">
        <v>0</v>
      </c>
      <c r="N80" s="59">
        <v>0</v>
      </c>
      <c r="O80" s="25">
        <f t="shared" si="12"/>
        <v>29190573.154870313</v>
      </c>
      <c r="P80" s="65">
        <f t="shared" si="9"/>
        <v>28232093.167069938</v>
      </c>
      <c r="Q80" s="25">
        <f t="shared" si="10"/>
        <v>653940.04899763316</v>
      </c>
      <c r="R80" s="38">
        <f t="shared" si="11"/>
        <v>2.2915809534063636E-2</v>
      </c>
    </row>
    <row r="81" spans="1:32">
      <c r="A81" s="2">
        <v>42917</v>
      </c>
      <c r="B81">
        <f t="shared" si="7"/>
        <v>2017</v>
      </c>
      <c r="C81">
        <f t="shared" si="8"/>
        <v>7</v>
      </c>
      <c r="D81" s="69">
        <v>28972066.226506032</v>
      </c>
      <c r="E81" s="69">
        <v>958479.98780037428</v>
      </c>
      <c r="F81" s="69">
        <v>29930546.214306407</v>
      </c>
      <c r="G81" s="86">
        <v>0</v>
      </c>
      <c r="H81" s="63">
        <v>178.50000000000003</v>
      </c>
      <c r="I81" s="25">
        <v>31</v>
      </c>
      <c r="J81" s="25">
        <v>0</v>
      </c>
      <c r="K81" s="25">
        <v>0</v>
      </c>
      <c r="L81" s="30">
        <v>34382</v>
      </c>
      <c r="M81" s="87">
        <v>0</v>
      </c>
      <c r="N81" s="59">
        <v>0</v>
      </c>
      <c r="O81" s="25">
        <f t="shared" si="12"/>
        <v>33524229.094872661</v>
      </c>
      <c r="P81" s="65">
        <f t="shared" si="9"/>
        <v>32565749.107072286</v>
      </c>
      <c r="Q81" s="25">
        <f t="shared" si="10"/>
        <v>3593682.8805662543</v>
      </c>
      <c r="R81" s="38">
        <f t="shared" si="11"/>
        <v>0.12006740053572831</v>
      </c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</row>
    <row r="82" spans="1:32">
      <c r="A82" s="2">
        <v>42948</v>
      </c>
      <c r="B82">
        <f t="shared" si="7"/>
        <v>2017</v>
      </c>
      <c r="C82">
        <f t="shared" si="8"/>
        <v>8</v>
      </c>
      <c r="D82" s="69">
        <v>29587012.925301205</v>
      </c>
      <c r="E82" s="69">
        <v>958479.98780037428</v>
      </c>
      <c r="F82" s="69">
        <v>30545492.91310158</v>
      </c>
      <c r="G82" s="86">
        <v>1.9000000000000004</v>
      </c>
      <c r="H82" s="63">
        <v>127.49999999999999</v>
      </c>
      <c r="I82" s="25">
        <v>31</v>
      </c>
      <c r="J82" s="25">
        <v>0</v>
      </c>
      <c r="K82" s="25">
        <v>0</v>
      </c>
      <c r="L82" s="30">
        <v>34485</v>
      </c>
      <c r="M82" s="87">
        <v>0</v>
      </c>
      <c r="N82" s="59">
        <v>0</v>
      </c>
      <c r="O82" s="25">
        <f t="shared" si="12"/>
        <v>30955894.981404923</v>
      </c>
      <c r="P82" s="65">
        <f t="shared" si="9"/>
        <v>29997414.993604548</v>
      </c>
      <c r="Q82" s="25">
        <f t="shared" si="10"/>
        <v>410402.06830334291</v>
      </c>
      <c r="R82" s="38">
        <f t="shared" si="11"/>
        <v>1.3435765121580774E-2</v>
      </c>
    </row>
    <row r="83" spans="1:32">
      <c r="A83" s="2">
        <v>42979</v>
      </c>
      <c r="B83">
        <f t="shared" si="7"/>
        <v>2017</v>
      </c>
      <c r="C83">
        <f t="shared" si="8"/>
        <v>9</v>
      </c>
      <c r="D83" s="69">
        <v>25857618.775903624</v>
      </c>
      <c r="E83" s="69">
        <v>958479.98780037428</v>
      </c>
      <c r="F83" s="69">
        <v>26816098.763703998</v>
      </c>
      <c r="G83" s="86">
        <v>25.2</v>
      </c>
      <c r="H83" s="63">
        <v>107.6</v>
      </c>
      <c r="I83" s="25">
        <v>30</v>
      </c>
      <c r="J83" s="25">
        <v>1</v>
      </c>
      <c r="K83" s="25">
        <v>1</v>
      </c>
      <c r="L83" s="30">
        <v>34561</v>
      </c>
      <c r="M83" s="87">
        <v>0</v>
      </c>
      <c r="N83" s="59">
        <v>0</v>
      </c>
      <c r="O83" s="25">
        <f t="shared" si="12"/>
        <v>27632052.81416684</v>
      </c>
      <c r="P83" s="65">
        <f t="shared" si="9"/>
        <v>26673572.826366466</v>
      </c>
      <c r="Q83" s="25">
        <f t="shared" si="10"/>
        <v>815954.05046284199</v>
      </c>
      <c r="R83" s="38">
        <f t="shared" si="11"/>
        <v>3.0427768694201274E-2</v>
      </c>
    </row>
    <row r="84" spans="1:32">
      <c r="A84" s="2">
        <v>43009</v>
      </c>
      <c r="B84">
        <f t="shared" si="7"/>
        <v>2017</v>
      </c>
      <c r="C84">
        <f t="shared" si="8"/>
        <v>10</v>
      </c>
      <c r="D84" s="69">
        <v>20602579.845783144</v>
      </c>
      <c r="E84" s="69">
        <v>958479.98780037428</v>
      </c>
      <c r="F84" s="69">
        <v>21561059.833583519</v>
      </c>
      <c r="G84" s="86">
        <v>103.3</v>
      </c>
      <c r="H84" s="63">
        <v>19.399999999999999</v>
      </c>
      <c r="I84" s="25">
        <v>31</v>
      </c>
      <c r="J84" s="25">
        <v>1</v>
      </c>
      <c r="K84" s="25">
        <v>0</v>
      </c>
      <c r="L84" s="30">
        <v>34637</v>
      </c>
      <c r="M84" s="87">
        <v>0</v>
      </c>
      <c r="N84" s="59">
        <v>0</v>
      </c>
      <c r="O84" s="25">
        <f t="shared" si="12"/>
        <v>22769405.386297245</v>
      </c>
      <c r="P84" s="65">
        <f t="shared" si="9"/>
        <v>21810925.39849687</v>
      </c>
      <c r="Q84" s="25">
        <f t="shared" si="10"/>
        <v>1208345.5527137257</v>
      </c>
      <c r="R84" s="38">
        <f t="shared" si="11"/>
        <v>5.6042957166308034E-2</v>
      </c>
    </row>
    <row r="85" spans="1:32">
      <c r="A85" s="2">
        <v>43040</v>
      </c>
      <c r="B85">
        <f t="shared" si="7"/>
        <v>2017</v>
      </c>
      <c r="C85">
        <f t="shared" si="8"/>
        <v>11</v>
      </c>
      <c r="D85" s="69">
        <v>22620692.693975899</v>
      </c>
      <c r="E85" s="69">
        <v>958479.98780037428</v>
      </c>
      <c r="F85" s="69">
        <v>23579172.681776274</v>
      </c>
      <c r="G85" s="86">
        <v>369.4</v>
      </c>
      <c r="H85" s="63">
        <v>0</v>
      </c>
      <c r="I85" s="25">
        <v>30</v>
      </c>
      <c r="J85" s="25">
        <v>1</v>
      </c>
      <c r="K85" s="25">
        <v>0</v>
      </c>
      <c r="L85" s="30">
        <v>34794</v>
      </c>
      <c r="M85" s="87">
        <v>0</v>
      </c>
      <c r="N85" s="59">
        <v>0</v>
      </c>
      <c r="O85" s="25">
        <f t="shared" si="12"/>
        <v>23141767.959452379</v>
      </c>
      <c r="P85" s="65">
        <f t="shared" si="9"/>
        <v>22183287.971652005</v>
      </c>
      <c r="Q85" s="25">
        <f t="shared" si="10"/>
        <v>-437404.7223238945</v>
      </c>
      <c r="R85" s="38">
        <f t="shared" si="11"/>
        <v>1.8550469442973849E-2</v>
      </c>
    </row>
    <row r="86" spans="1:32">
      <c r="A86" s="2">
        <v>43070</v>
      </c>
      <c r="B86">
        <f t="shared" si="7"/>
        <v>2017</v>
      </c>
      <c r="C86">
        <f t="shared" si="8"/>
        <v>12</v>
      </c>
      <c r="D86" s="69">
        <v>26519901.040963847</v>
      </c>
      <c r="E86" s="69">
        <v>958479.98780037428</v>
      </c>
      <c r="F86" s="69">
        <v>27478381.028764222</v>
      </c>
      <c r="G86" s="86">
        <v>656.49999999999989</v>
      </c>
      <c r="H86" s="63">
        <v>0</v>
      </c>
      <c r="I86" s="25">
        <v>31</v>
      </c>
      <c r="J86" s="25">
        <v>0</v>
      </c>
      <c r="K86" s="25">
        <v>0</v>
      </c>
      <c r="L86" s="30">
        <v>34878</v>
      </c>
      <c r="M86" s="87">
        <v>0</v>
      </c>
      <c r="N86" s="59">
        <v>0</v>
      </c>
      <c r="O86" s="25">
        <f t="shared" si="12"/>
        <v>29599082.045501236</v>
      </c>
      <c r="P86" s="65">
        <f t="shared" si="9"/>
        <v>28640602.057700861</v>
      </c>
      <c r="Q86" s="25">
        <f t="shared" si="10"/>
        <v>2120701.0167370141</v>
      </c>
      <c r="R86" s="38">
        <f t="shared" si="11"/>
        <v>7.7177072932975044E-2</v>
      </c>
    </row>
    <row r="87" spans="1:32">
      <c r="A87" s="2">
        <v>43101</v>
      </c>
      <c r="B87">
        <f t="shared" si="7"/>
        <v>2018</v>
      </c>
      <c r="C87">
        <f t="shared" si="8"/>
        <v>1</v>
      </c>
      <c r="D87" s="69">
        <v>28325353.78313252</v>
      </c>
      <c r="E87" s="69">
        <v>1281849.6400688274</v>
      </c>
      <c r="F87" s="69">
        <v>29607203.423201349</v>
      </c>
      <c r="G87" s="86">
        <v>670.29999999999984</v>
      </c>
      <c r="H87" s="63">
        <v>0</v>
      </c>
      <c r="I87" s="25">
        <v>31</v>
      </c>
      <c r="J87" s="25">
        <v>0</v>
      </c>
      <c r="K87" s="25">
        <v>0</v>
      </c>
      <c r="L87" s="30">
        <v>34927</v>
      </c>
      <c r="M87" s="87">
        <v>0</v>
      </c>
      <c r="N87" s="59">
        <v>0</v>
      </c>
      <c r="O87" s="25">
        <f t="shared" si="12"/>
        <v>29740564.201501224</v>
      </c>
      <c r="P87" s="65">
        <f t="shared" si="9"/>
        <v>28458714.561432395</v>
      </c>
      <c r="Q87" s="25">
        <f t="shared" si="10"/>
        <v>133360.77829987556</v>
      </c>
      <c r="R87" s="38">
        <f t="shared" si="11"/>
        <v>4.5043355292168153E-3</v>
      </c>
    </row>
    <row r="88" spans="1:32">
      <c r="A88" s="2">
        <v>43132</v>
      </c>
      <c r="B88">
        <f t="shared" si="7"/>
        <v>2018</v>
      </c>
      <c r="C88">
        <f t="shared" si="8"/>
        <v>2</v>
      </c>
      <c r="D88" s="69">
        <v>22897439.132530119</v>
      </c>
      <c r="E88" s="69">
        <v>1281849.6400688274</v>
      </c>
      <c r="F88" s="69">
        <v>24179288.772598948</v>
      </c>
      <c r="G88" s="86">
        <v>499.00000000000011</v>
      </c>
      <c r="H88" s="63">
        <v>0</v>
      </c>
      <c r="I88" s="25">
        <v>28</v>
      </c>
      <c r="J88" s="25">
        <v>0</v>
      </c>
      <c r="K88" s="25">
        <v>0</v>
      </c>
      <c r="L88" s="30">
        <v>35069</v>
      </c>
      <c r="M88" s="87">
        <v>0</v>
      </c>
      <c r="N88" s="59">
        <v>0</v>
      </c>
      <c r="O88" s="25">
        <f t="shared" si="12"/>
        <v>26242595.571515329</v>
      </c>
      <c r="P88" s="65">
        <f t="shared" si="9"/>
        <v>24960745.9314465</v>
      </c>
      <c r="Q88" s="25">
        <f t="shared" si="10"/>
        <v>2063306.7989163809</v>
      </c>
      <c r="R88" s="38">
        <f t="shared" si="11"/>
        <v>8.5333643115864208E-2</v>
      </c>
    </row>
    <row r="89" spans="1:32">
      <c r="A89" s="2">
        <v>43160</v>
      </c>
      <c r="B89">
        <f t="shared" si="7"/>
        <v>2018</v>
      </c>
      <c r="C89">
        <f t="shared" si="8"/>
        <v>3</v>
      </c>
      <c r="D89" s="69">
        <v>24842177.96626506</v>
      </c>
      <c r="E89" s="69">
        <v>1281849.6400688274</v>
      </c>
      <c r="F89" s="69">
        <v>26124027.606333889</v>
      </c>
      <c r="G89" s="86">
        <v>492</v>
      </c>
      <c r="H89" s="63">
        <v>0</v>
      </c>
      <c r="I89" s="25">
        <v>31</v>
      </c>
      <c r="J89" s="25">
        <v>1</v>
      </c>
      <c r="K89" s="25">
        <v>0</v>
      </c>
      <c r="L89" s="30">
        <v>35293</v>
      </c>
      <c r="M89" s="87">
        <v>0</v>
      </c>
      <c r="N89" s="59">
        <v>0</v>
      </c>
      <c r="O89" s="25">
        <f t="shared" si="12"/>
        <v>25210199.797872949</v>
      </c>
      <c r="P89" s="65">
        <f t="shared" si="9"/>
        <v>23928350.15780412</v>
      </c>
      <c r="Q89" s="25">
        <f t="shared" si="10"/>
        <v>-913827.80846093968</v>
      </c>
      <c r="R89" s="38">
        <f t="shared" si="11"/>
        <v>3.4980356866541433E-2</v>
      </c>
    </row>
    <row r="90" spans="1:32">
      <c r="A90" s="2">
        <v>43191</v>
      </c>
      <c r="B90">
        <f t="shared" si="7"/>
        <v>2018</v>
      </c>
      <c r="C90">
        <f t="shared" si="8"/>
        <v>4</v>
      </c>
      <c r="D90" s="69">
        <v>21016838.76626505</v>
      </c>
      <c r="E90" s="69">
        <v>1281849.6400688274</v>
      </c>
      <c r="F90" s="69">
        <v>22298688.406333879</v>
      </c>
      <c r="G90" s="86">
        <v>377.2</v>
      </c>
      <c r="H90" s="63">
        <v>0</v>
      </c>
      <c r="I90" s="25">
        <v>30</v>
      </c>
      <c r="J90" s="25">
        <v>1</v>
      </c>
      <c r="K90" s="25">
        <v>0</v>
      </c>
      <c r="L90" s="30">
        <v>35464</v>
      </c>
      <c r="M90" s="87">
        <v>0</v>
      </c>
      <c r="N90" s="59">
        <v>0</v>
      </c>
      <c r="O90" s="25">
        <f t="shared" si="12"/>
        <v>23694444.847776502</v>
      </c>
      <c r="P90" s="65">
        <f t="shared" si="9"/>
        <v>22412595.207707673</v>
      </c>
      <c r="Q90" s="25">
        <f t="shared" si="10"/>
        <v>1395756.4414426237</v>
      </c>
      <c r="R90" s="38">
        <f t="shared" si="11"/>
        <v>6.259365645228547E-2</v>
      </c>
      <c r="AE90"/>
      <c r="AF90"/>
    </row>
    <row r="91" spans="1:32">
      <c r="A91" s="2">
        <v>43221</v>
      </c>
      <c r="B91">
        <f t="shared" si="7"/>
        <v>2018</v>
      </c>
      <c r="C91">
        <f t="shared" si="8"/>
        <v>5</v>
      </c>
      <c r="D91" s="69">
        <v>23626890.708433751</v>
      </c>
      <c r="E91" s="69">
        <v>1281849.6400688274</v>
      </c>
      <c r="F91" s="69">
        <v>24908740.34850258</v>
      </c>
      <c r="G91" s="86">
        <v>39.300000000000004</v>
      </c>
      <c r="H91" s="63">
        <v>69.399999999999991</v>
      </c>
      <c r="I91" s="25">
        <v>31</v>
      </c>
      <c r="J91" s="25">
        <v>1</v>
      </c>
      <c r="K91" s="25">
        <v>0</v>
      </c>
      <c r="L91" s="30">
        <v>35588</v>
      </c>
      <c r="M91" s="87">
        <v>0</v>
      </c>
      <c r="N91" s="59">
        <v>0</v>
      </c>
      <c r="O91" s="25">
        <f t="shared" si="12"/>
        <v>25586917.219904698</v>
      </c>
      <c r="P91" s="65">
        <f t="shared" si="9"/>
        <v>24305067.579835869</v>
      </c>
      <c r="Q91" s="25">
        <f t="shared" si="10"/>
        <v>678176.87140211836</v>
      </c>
      <c r="R91" s="38">
        <f t="shared" si="11"/>
        <v>2.7226461953259222E-2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</row>
    <row r="92" spans="1:32">
      <c r="A92" s="2">
        <v>43252</v>
      </c>
      <c r="B92">
        <f t="shared" si="7"/>
        <v>2018</v>
      </c>
      <c r="C92">
        <f t="shared" si="8"/>
        <v>6</v>
      </c>
      <c r="D92" s="69">
        <v>32759189.532530148</v>
      </c>
      <c r="E92" s="69">
        <v>1281849.6400688274</v>
      </c>
      <c r="F92" s="69">
        <v>34041039.172598973</v>
      </c>
      <c r="G92" s="86">
        <v>5.6999999999999993</v>
      </c>
      <c r="H92" s="63">
        <v>111.39999999999998</v>
      </c>
      <c r="I92" s="25">
        <v>30</v>
      </c>
      <c r="J92" s="25">
        <v>0</v>
      </c>
      <c r="K92" s="25">
        <v>0</v>
      </c>
      <c r="L92" s="30">
        <v>35766</v>
      </c>
      <c r="M92" s="87">
        <v>0</v>
      </c>
      <c r="N92" s="59">
        <v>0</v>
      </c>
      <c r="O92" s="25">
        <f t="shared" si="12"/>
        <v>30323755.805083282</v>
      </c>
      <c r="P92" s="65">
        <f t="shared" si="9"/>
        <v>29041906.165014453</v>
      </c>
      <c r="Q92" s="25">
        <f t="shared" si="10"/>
        <v>-3717283.3675156906</v>
      </c>
      <c r="R92" s="38">
        <f t="shared" si="11"/>
        <v>0.10920005551733815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</row>
    <row r="93" spans="1:32">
      <c r="A93" s="2">
        <v>43282</v>
      </c>
      <c r="B93">
        <f t="shared" si="7"/>
        <v>2018</v>
      </c>
      <c r="C93">
        <f t="shared" si="8"/>
        <v>7</v>
      </c>
      <c r="D93" s="69">
        <v>33985677.465060242</v>
      </c>
      <c r="E93" s="69">
        <v>1281849.6400688274</v>
      </c>
      <c r="F93" s="69">
        <v>35267527.105129071</v>
      </c>
      <c r="G93" s="86">
        <v>0</v>
      </c>
      <c r="H93" s="63">
        <v>229.79999999999998</v>
      </c>
      <c r="I93" s="25">
        <v>31</v>
      </c>
      <c r="J93" s="25">
        <v>0</v>
      </c>
      <c r="K93" s="25">
        <v>0</v>
      </c>
      <c r="L93" s="30">
        <v>35939</v>
      </c>
      <c r="M93" s="87">
        <v>0</v>
      </c>
      <c r="N93" s="59">
        <v>0</v>
      </c>
      <c r="O93" s="25">
        <f t="shared" si="12"/>
        <v>37344406.197755121</v>
      </c>
      <c r="P93" s="65">
        <f t="shared" si="9"/>
        <v>36062556.557686292</v>
      </c>
      <c r="Q93" s="25">
        <f t="shared" si="10"/>
        <v>2076879.0926260501</v>
      </c>
      <c r="R93" s="38">
        <f t="shared" si="11"/>
        <v>5.8889274726721709E-2</v>
      </c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</row>
    <row r="94" spans="1:32">
      <c r="A94" s="2">
        <v>43313</v>
      </c>
      <c r="B94">
        <f t="shared" si="7"/>
        <v>2018</v>
      </c>
      <c r="C94">
        <f t="shared" si="8"/>
        <v>8</v>
      </c>
      <c r="D94" s="69">
        <v>36600647.12289153</v>
      </c>
      <c r="E94" s="69">
        <v>1281849.6400688274</v>
      </c>
      <c r="F94" s="69">
        <v>37882496.762960359</v>
      </c>
      <c r="G94" s="86">
        <v>0</v>
      </c>
      <c r="H94" s="63">
        <v>223.20000000000002</v>
      </c>
      <c r="I94" s="25">
        <v>31</v>
      </c>
      <c r="J94" s="25">
        <v>0</v>
      </c>
      <c r="K94" s="25">
        <v>0</v>
      </c>
      <c r="L94" s="30">
        <v>36069</v>
      </c>
      <c r="M94" s="87">
        <v>0</v>
      </c>
      <c r="N94" s="59">
        <v>0</v>
      </c>
      <c r="O94" s="25">
        <f t="shared" si="12"/>
        <v>37096019.812639445</v>
      </c>
      <c r="P94" s="65">
        <f t="shared" si="9"/>
        <v>35814170.172570616</v>
      </c>
      <c r="Q94" s="25">
        <f t="shared" si="10"/>
        <v>-786476.95032091439</v>
      </c>
      <c r="R94" s="38">
        <f t="shared" si="11"/>
        <v>2.0760958688707469E-2</v>
      </c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</row>
    <row r="95" spans="1:32">
      <c r="A95" s="2">
        <v>43344</v>
      </c>
      <c r="B95">
        <f t="shared" si="7"/>
        <v>2018</v>
      </c>
      <c r="C95">
        <f t="shared" si="8"/>
        <v>9</v>
      </c>
      <c r="D95" s="69">
        <v>27341665.600000009</v>
      </c>
      <c r="E95" s="69">
        <v>1281849.6400688274</v>
      </c>
      <c r="F95" s="69">
        <v>28623515.240068838</v>
      </c>
      <c r="G95" s="86">
        <v>25.1</v>
      </c>
      <c r="H95" s="63">
        <v>114.89999999999998</v>
      </c>
      <c r="I95" s="25">
        <v>30</v>
      </c>
      <c r="J95" s="25">
        <v>1</v>
      </c>
      <c r="K95" s="25">
        <v>1</v>
      </c>
      <c r="L95" s="30">
        <v>36128</v>
      </c>
      <c r="M95" s="87">
        <v>0</v>
      </c>
      <c r="N95" s="59">
        <v>0</v>
      </c>
      <c r="O95" s="25">
        <f t="shared" si="12"/>
        <v>29165086.495003406</v>
      </c>
      <c r="P95" s="65">
        <f t="shared" si="9"/>
        <v>27883236.854934577</v>
      </c>
      <c r="Q95" s="25">
        <f t="shared" si="10"/>
        <v>541571.25493456796</v>
      </c>
      <c r="R95" s="38">
        <f t="shared" si="11"/>
        <v>1.8920501217000958E-2</v>
      </c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</row>
    <row r="96" spans="1:32">
      <c r="A96" s="2">
        <v>43374</v>
      </c>
      <c r="B96">
        <f t="shared" si="7"/>
        <v>2018</v>
      </c>
      <c r="C96">
        <f t="shared" si="8"/>
        <v>10</v>
      </c>
      <c r="D96" s="69">
        <v>21787579.980722882</v>
      </c>
      <c r="E96" s="69">
        <v>1281849.6400688274</v>
      </c>
      <c r="F96" s="69">
        <v>23069429.620791711</v>
      </c>
      <c r="G96" s="86">
        <v>231.4</v>
      </c>
      <c r="H96" s="63">
        <v>12.2</v>
      </c>
      <c r="I96" s="25">
        <v>31</v>
      </c>
      <c r="J96" s="25">
        <v>1</v>
      </c>
      <c r="K96" s="25">
        <v>0</v>
      </c>
      <c r="L96" s="30">
        <v>36344</v>
      </c>
      <c r="M96" s="87">
        <v>0</v>
      </c>
      <c r="N96" s="59">
        <v>0</v>
      </c>
      <c r="O96" s="25">
        <f t="shared" si="12"/>
        <v>24628920.560506299</v>
      </c>
      <c r="P96" s="65">
        <f t="shared" si="9"/>
        <v>23347070.92043747</v>
      </c>
      <c r="Q96" s="25">
        <f t="shared" si="10"/>
        <v>1559490.9397145882</v>
      </c>
      <c r="R96" s="38">
        <f t="shared" si="11"/>
        <v>6.7599891516566618E-2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</row>
    <row r="97" spans="1:39">
      <c r="A97" s="2">
        <v>43405</v>
      </c>
      <c r="B97">
        <f t="shared" si="7"/>
        <v>2018</v>
      </c>
      <c r="C97">
        <f t="shared" si="8"/>
        <v>11</v>
      </c>
      <c r="D97" s="69">
        <v>20895540.250602394</v>
      </c>
      <c r="E97" s="69">
        <v>1281849.6400688274</v>
      </c>
      <c r="F97" s="69">
        <v>22177389.890671223</v>
      </c>
      <c r="G97" s="86">
        <v>434.10000000000008</v>
      </c>
      <c r="H97" s="63">
        <v>0</v>
      </c>
      <c r="I97" s="25">
        <v>30</v>
      </c>
      <c r="J97" s="25">
        <v>1</v>
      </c>
      <c r="K97" s="25">
        <v>0</v>
      </c>
      <c r="L97" s="30">
        <v>36437</v>
      </c>
      <c r="M97" s="87">
        <v>0</v>
      </c>
      <c r="N97" s="59">
        <v>0</v>
      </c>
      <c r="O97" s="25">
        <f t="shared" si="12"/>
        <v>24845199.013753645</v>
      </c>
      <c r="P97" s="65">
        <f t="shared" si="9"/>
        <v>23563349.373684816</v>
      </c>
      <c r="Q97" s="25">
        <f t="shared" si="10"/>
        <v>2667809.1230824217</v>
      </c>
      <c r="R97" s="38">
        <f t="shared" si="11"/>
        <v>0.12029409845946833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</row>
    <row r="98" spans="1:39">
      <c r="A98" s="2">
        <v>43435</v>
      </c>
      <c r="B98">
        <f t="shared" si="7"/>
        <v>2018</v>
      </c>
      <c r="C98">
        <f t="shared" si="8"/>
        <v>12</v>
      </c>
      <c r="D98" s="69">
        <v>29544191.980722886</v>
      </c>
      <c r="E98" s="69">
        <v>1281849.6400688274</v>
      </c>
      <c r="F98" s="69">
        <v>30826041.620791715</v>
      </c>
      <c r="G98" s="86">
        <v>501.6</v>
      </c>
      <c r="H98" s="63">
        <v>0</v>
      </c>
      <c r="I98" s="25">
        <v>31</v>
      </c>
      <c r="J98" s="25">
        <v>0</v>
      </c>
      <c r="K98" s="25">
        <v>0</v>
      </c>
      <c r="L98" s="30">
        <v>36530</v>
      </c>
      <c r="M98" s="87">
        <v>0</v>
      </c>
      <c r="N98" s="59">
        <v>0</v>
      </c>
      <c r="O98" s="25">
        <f t="shared" si="12"/>
        <v>29631579.892229084</v>
      </c>
      <c r="P98" s="65">
        <f t="shared" si="9"/>
        <v>28349730.252160255</v>
      </c>
      <c r="Q98" s="25">
        <f t="shared" si="10"/>
        <v>-1194461.7285626307</v>
      </c>
      <c r="R98" s="38">
        <f t="shared" si="11"/>
        <v>3.8748462850221536E-2</v>
      </c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</row>
    <row r="99" spans="1:39" s="9" customFormat="1">
      <c r="A99" s="2">
        <v>43466</v>
      </c>
      <c r="B99">
        <f t="shared" si="7"/>
        <v>2019</v>
      </c>
      <c r="C99">
        <f t="shared" si="8"/>
        <v>1</v>
      </c>
      <c r="D99" s="69">
        <v>28887987.922891602</v>
      </c>
      <c r="E99" s="69">
        <v>1408690.5797202766</v>
      </c>
      <c r="F99" s="69">
        <v>30296678.502611879</v>
      </c>
      <c r="G99" s="86">
        <v>702.49999999999989</v>
      </c>
      <c r="H99" s="63">
        <v>0</v>
      </c>
      <c r="I99" s="25">
        <v>31</v>
      </c>
      <c r="J99" s="25">
        <v>0</v>
      </c>
      <c r="K99" s="25">
        <v>0</v>
      </c>
      <c r="L99" s="30">
        <v>36566</v>
      </c>
      <c r="M99" s="87">
        <v>0</v>
      </c>
      <c r="N99" s="59">
        <v>0</v>
      </c>
      <c r="O99" s="25">
        <f t="shared" si="12"/>
        <v>31192779.12691737</v>
      </c>
      <c r="P99" s="65">
        <f t="shared" si="9"/>
        <v>29784088.547197092</v>
      </c>
      <c r="Q99" s="25">
        <f t="shared" si="10"/>
        <v>896100.6243054904</v>
      </c>
      <c r="R99" s="38">
        <f t="shared" si="11"/>
        <v>2.9577520328779191E-2</v>
      </c>
      <c r="S99"/>
      <c r="T99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5"/>
      <c r="AH99" s="5"/>
      <c r="AI99" s="29"/>
      <c r="AJ99" s="29"/>
      <c r="AK99" s="29"/>
      <c r="AL99" s="29"/>
      <c r="AM99" s="29"/>
    </row>
    <row r="100" spans="1:39">
      <c r="A100" s="2">
        <v>43497</v>
      </c>
      <c r="B100">
        <f t="shared" si="7"/>
        <v>2019</v>
      </c>
      <c r="C100">
        <f t="shared" si="8"/>
        <v>2</v>
      </c>
      <c r="D100" s="69">
        <v>25855133.050602406</v>
      </c>
      <c r="E100" s="69">
        <v>1408690.5797202766</v>
      </c>
      <c r="F100" s="69">
        <v>27263823.630322684</v>
      </c>
      <c r="G100" s="86">
        <v>565.70000000000005</v>
      </c>
      <c r="H100" s="63">
        <v>0</v>
      </c>
      <c r="I100" s="25">
        <v>28</v>
      </c>
      <c r="J100" s="25">
        <v>0</v>
      </c>
      <c r="K100" s="25">
        <v>0</v>
      </c>
      <c r="L100" s="30">
        <v>36622</v>
      </c>
      <c r="M100" s="87">
        <v>0</v>
      </c>
      <c r="N100" s="59">
        <v>0</v>
      </c>
      <c r="O100" s="25">
        <f t="shared" si="12"/>
        <v>27895068.744569007</v>
      </c>
      <c r="P100" s="65">
        <f t="shared" si="9"/>
        <v>26486378.16484873</v>
      </c>
      <c r="Q100" s="25">
        <f t="shared" si="10"/>
        <v>631245.1142463237</v>
      </c>
      <c r="R100" s="38">
        <f t="shared" si="11"/>
        <v>2.3153212946413582E-2</v>
      </c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</row>
    <row r="101" spans="1:39">
      <c r="A101" s="2">
        <v>43525</v>
      </c>
      <c r="B101">
        <f t="shared" si="7"/>
        <v>2019</v>
      </c>
      <c r="C101">
        <f t="shared" si="8"/>
        <v>3</v>
      </c>
      <c r="D101" s="69">
        <v>23881199.306024097</v>
      </c>
      <c r="E101" s="69">
        <v>1408690.5797202766</v>
      </c>
      <c r="F101" s="69">
        <v>25289889.885744374</v>
      </c>
      <c r="G101" s="86">
        <v>531.9</v>
      </c>
      <c r="H101" s="63">
        <v>0</v>
      </c>
      <c r="I101" s="25">
        <v>31</v>
      </c>
      <c r="J101" s="25">
        <v>1</v>
      </c>
      <c r="K101" s="25">
        <v>0</v>
      </c>
      <c r="L101" s="30">
        <v>36709</v>
      </c>
      <c r="M101" s="87">
        <v>0</v>
      </c>
      <c r="N101" s="59">
        <v>0</v>
      </c>
      <c r="O101" s="25">
        <f t="shared" si="12"/>
        <v>26557117.633875635</v>
      </c>
      <c r="P101" s="65">
        <f t="shared" si="9"/>
        <v>25148427.054155357</v>
      </c>
      <c r="Q101" s="25">
        <f t="shared" si="10"/>
        <v>1267227.7481312603</v>
      </c>
      <c r="R101" s="38">
        <f t="shared" si="11"/>
        <v>5.0108076937321194E-2</v>
      </c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</row>
    <row r="102" spans="1:39">
      <c r="A102" s="2">
        <v>43556</v>
      </c>
      <c r="B102">
        <f t="shared" si="7"/>
        <v>2019</v>
      </c>
      <c r="C102">
        <f t="shared" si="8"/>
        <v>4</v>
      </c>
      <c r="D102" s="69">
        <v>22676737.503614482</v>
      </c>
      <c r="E102" s="69">
        <v>1408690.5797202766</v>
      </c>
      <c r="F102" s="69">
        <v>24085428.083334759</v>
      </c>
      <c r="G102" s="86">
        <v>286.80000000000007</v>
      </c>
      <c r="H102" s="63">
        <v>0</v>
      </c>
      <c r="I102" s="25">
        <v>30</v>
      </c>
      <c r="J102" s="25">
        <v>1</v>
      </c>
      <c r="K102" s="25">
        <v>0</v>
      </c>
      <c r="L102" s="30">
        <v>36807</v>
      </c>
      <c r="M102" s="87">
        <v>0</v>
      </c>
      <c r="N102" s="59">
        <v>0</v>
      </c>
      <c r="O102" s="25">
        <f t="shared" si="12"/>
        <v>23992256.845454361</v>
      </c>
      <c r="P102" s="65">
        <f t="shared" si="9"/>
        <v>22583566.265734084</v>
      </c>
      <c r="Q102" s="25">
        <f t="shared" si="10"/>
        <v>-93171.237880397588</v>
      </c>
      <c r="R102" s="38">
        <f t="shared" si="11"/>
        <v>3.8683654514268247E-3</v>
      </c>
    </row>
    <row r="103" spans="1:39">
      <c r="A103" s="2">
        <v>43586</v>
      </c>
      <c r="B103">
        <f t="shared" si="7"/>
        <v>2019</v>
      </c>
      <c r="C103">
        <f t="shared" si="8"/>
        <v>5</v>
      </c>
      <c r="D103" s="69">
        <v>22100464.308433745</v>
      </c>
      <c r="E103" s="69">
        <v>1408690.5797202766</v>
      </c>
      <c r="F103" s="69">
        <v>23509154.888154022</v>
      </c>
      <c r="G103" s="86">
        <v>135.6</v>
      </c>
      <c r="H103" s="63">
        <v>4.6000000000000014</v>
      </c>
      <c r="I103" s="25">
        <v>31</v>
      </c>
      <c r="J103" s="25">
        <v>1</v>
      </c>
      <c r="K103" s="25">
        <v>0</v>
      </c>
      <c r="L103" s="30">
        <v>36908</v>
      </c>
      <c r="M103" s="87">
        <v>0</v>
      </c>
      <c r="N103" s="59">
        <v>0</v>
      </c>
      <c r="O103" s="25">
        <f t="shared" si="12"/>
        <v>23915978.958785444</v>
      </c>
      <c r="P103" s="65">
        <f t="shared" si="9"/>
        <v>22507288.379065167</v>
      </c>
      <c r="Q103" s="25">
        <f t="shared" si="10"/>
        <v>406824.0706314221</v>
      </c>
      <c r="R103" s="38">
        <f t="shared" si="11"/>
        <v>1.7304921106986105E-2</v>
      </c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</row>
    <row r="104" spans="1:39">
      <c r="A104" s="2">
        <v>43617</v>
      </c>
      <c r="B104">
        <f t="shared" si="7"/>
        <v>2019</v>
      </c>
      <c r="C104">
        <f t="shared" si="8"/>
        <v>6</v>
      </c>
      <c r="D104" s="69">
        <v>25171611.431325283</v>
      </c>
      <c r="E104" s="69">
        <v>1408690.5797202766</v>
      </c>
      <c r="F104" s="69">
        <v>26580302.01104556</v>
      </c>
      <c r="G104" s="86">
        <v>13.800000000000002</v>
      </c>
      <c r="H104" s="63">
        <v>79.600000000000009</v>
      </c>
      <c r="I104" s="25">
        <v>30</v>
      </c>
      <c r="J104" s="25">
        <v>0</v>
      </c>
      <c r="K104" s="25">
        <v>0</v>
      </c>
      <c r="L104" s="30">
        <v>37029</v>
      </c>
      <c r="M104" s="87">
        <v>0</v>
      </c>
      <c r="N104" s="59">
        <v>0</v>
      </c>
      <c r="O104" s="25">
        <f t="shared" si="12"/>
        <v>29657399.454068776</v>
      </c>
      <c r="P104" s="65">
        <f t="shared" si="9"/>
        <v>28248708.874348499</v>
      </c>
      <c r="Q104" s="25">
        <f t="shared" si="10"/>
        <v>3077097.443023216</v>
      </c>
      <c r="R104" s="38">
        <f t="shared" si="11"/>
        <v>0.1157660827835784</v>
      </c>
    </row>
    <row r="105" spans="1:39">
      <c r="A105" s="2">
        <v>43647</v>
      </c>
      <c r="B105">
        <f t="shared" si="7"/>
        <v>2019</v>
      </c>
      <c r="C105">
        <f t="shared" si="8"/>
        <v>7</v>
      </c>
      <c r="D105" s="69">
        <v>37225707.074698806</v>
      </c>
      <c r="E105" s="69">
        <v>1408690.5797202766</v>
      </c>
      <c r="F105" s="69">
        <v>38634397.654419079</v>
      </c>
      <c r="G105" s="86">
        <v>0</v>
      </c>
      <c r="H105" s="63">
        <v>228.9</v>
      </c>
      <c r="I105" s="25">
        <v>31</v>
      </c>
      <c r="J105" s="25">
        <v>0</v>
      </c>
      <c r="K105" s="25">
        <v>0</v>
      </c>
      <c r="L105" s="30">
        <v>37141</v>
      </c>
      <c r="M105" s="87">
        <v>0</v>
      </c>
      <c r="N105" s="59">
        <v>0</v>
      </c>
      <c r="O105" s="25">
        <f t="shared" si="12"/>
        <v>38182109.743257888</v>
      </c>
      <c r="P105" s="65">
        <f t="shared" si="9"/>
        <v>36773419.163537614</v>
      </c>
      <c r="Q105" s="25">
        <f t="shared" si="10"/>
        <v>-452287.91116119176</v>
      </c>
      <c r="R105" s="38">
        <f t="shared" si="11"/>
        <v>1.1706871042920432E-2</v>
      </c>
    </row>
    <row r="106" spans="1:39">
      <c r="A106" s="2">
        <v>43678</v>
      </c>
      <c r="B106">
        <f t="shared" si="7"/>
        <v>2019</v>
      </c>
      <c r="C106">
        <f t="shared" si="8"/>
        <v>8</v>
      </c>
      <c r="D106" s="69">
        <v>34053660.819277115</v>
      </c>
      <c r="E106" s="69">
        <v>1408690.5797202766</v>
      </c>
      <c r="F106" s="69">
        <v>35462351.398997389</v>
      </c>
      <c r="G106" s="86">
        <v>0</v>
      </c>
      <c r="H106" s="63">
        <v>164.40000000000006</v>
      </c>
      <c r="I106" s="25">
        <v>31</v>
      </c>
      <c r="J106" s="25">
        <v>0</v>
      </c>
      <c r="K106" s="25">
        <v>0</v>
      </c>
      <c r="L106" s="30">
        <v>37161</v>
      </c>
      <c r="M106" s="87">
        <v>0</v>
      </c>
      <c r="N106" s="59">
        <v>0</v>
      </c>
      <c r="O106" s="25">
        <f t="shared" si="12"/>
        <v>34834415.920462243</v>
      </c>
      <c r="P106" s="65">
        <f t="shared" si="9"/>
        <v>33425725.340741966</v>
      </c>
      <c r="Q106" s="25">
        <f t="shared" si="10"/>
        <v>-627935.47853514552</v>
      </c>
      <c r="R106" s="38">
        <f t="shared" si="11"/>
        <v>1.7707102145316254E-2</v>
      </c>
    </row>
    <row r="107" spans="1:39">
      <c r="A107" s="2">
        <v>43709</v>
      </c>
      <c r="B107">
        <f t="shared" si="7"/>
        <v>2019</v>
      </c>
      <c r="C107">
        <f t="shared" si="8"/>
        <v>9</v>
      </c>
      <c r="D107" s="69">
        <v>25049312.13493976</v>
      </c>
      <c r="E107" s="69">
        <v>1408690.5797202766</v>
      </c>
      <c r="F107" s="69">
        <v>26458002.714660037</v>
      </c>
      <c r="G107" s="86">
        <v>11.699999999999998</v>
      </c>
      <c r="H107" s="63">
        <v>58.7</v>
      </c>
      <c r="I107" s="25">
        <v>30</v>
      </c>
      <c r="J107" s="25">
        <v>1</v>
      </c>
      <c r="K107" s="25">
        <v>1</v>
      </c>
      <c r="L107" s="30">
        <v>37192</v>
      </c>
      <c r="M107" s="87">
        <v>0</v>
      </c>
      <c r="N107" s="59">
        <v>0</v>
      </c>
      <c r="O107" s="25">
        <f t="shared" si="12"/>
        <v>26916050.341351923</v>
      </c>
      <c r="P107" s="65">
        <f t="shared" si="9"/>
        <v>25507359.761631645</v>
      </c>
      <c r="Q107" s="25">
        <f t="shared" si="10"/>
        <v>458047.62669188529</v>
      </c>
      <c r="R107" s="38">
        <f t="shared" si="11"/>
        <v>1.7312252615277232E-2</v>
      </c>
    </row>
    <row r="108" spans="1:39">
      <c r="A108" s="2">
        <v>43739</v>
      </c>
      <c r="B108">
        <f t="shared" si="7"/>
        <v>2019</v>
      </c>
      <c r="C108">
        <f t="shared" si="8"/>
        <v>10</v>
      </c>
      <c r="D108" s="69">
        <v>22049631.412048209</v>
      </c>
      <c r="E108" s="69">
        <v>1408690.5797202766</v>
      </c>
      <c r="F108" s="69">
        <v>23458321.991768487</v>
      </c>
      <c r="G108" s="86">
        <v>177.10000000000002</v>
      </c>
      <c r="H108" s="63">
        <v>7.7000000000000028</v>
      </c>
      <c r="I108" s="25">
        <v>31</v>
      </c>
      <c r="J108" s="25">
        <v>1</v>
      </c>
      <c r="K108" s="25">
        <v>0</v>
      </c>
      <c r="L108" s="30">
        <v>37260</v>
      </c>
      <c r="M108" s="87">
        <v>0</v>
      </c>
      <c r="N108" s="59">
        <v>0</v>
      </c>
      <c r="O108" s="25">
        <f t="shared" si="12"/>
        <v>24653664.977048401</v>
      </c>
      <c r="P108" s="65">
        <f t="shared" si="9"/>
        <v>23244974.397328123</v>
      </c>
      <c r="Q108" s="25">
        <f t="shared" si="10"/>
        <v>1195342.985279914</v>
      </c>
      <c r="R108" s="38">
        <f t="shared" si="11"/>
        <v>5.0956031113366045E-2</v>
      </c>
    </row>
    <row r="109" spans="1:39">
      <c r="A109" s="2">
        <v>43770</v>
      </c>
      <c r="B109">
        <f t="shared" si="7"/>
        <v>2019</v>
      </c>
      <c r="C109">
        <f t="shared" si="8"/>
        <v>11</v>
      </c>
      <c r="D109" s="69">
        <v>21315185.031325318</v>
      </c>
      <c r="E109" s="69">
        <v>1408690.5797202766</v>
      </c>
      <c r="F109" s="69">
        <v>22723875.611045595</v>
      </c>
      <c r="G109" s="86">
        <v>453.3</v>
      </c>
      <c r="H109" s="63">
        <v>0</v>
      </c>
      <c r="I109" s="25">
        <v>30</v>
      </c>
      <c r="J109" s="25">
        <v>1</v>
      </c>
      <c r="K109" s="25">
        <v>0</v>
      </c>
      <c r="L109" s="30">
        <v>37298</v>
      </c>
      <c r="M109" s="87">
        <v>0</v>
      </c>
      <c r="N109" s="59">
        <v>0</v>
      </c>
      <c r="O109" s="25">
        <f t="shared" si="12"/>
        <v>25625530.071163941</v>
      </c>
      <c r="P109" s="65">
        <f t="shared" si="9"/>
        <v>24216839.491443664</v>
      </c>
      <c r="Q109" s="25">
        <f t="shared" si="10"/>
        <v>2901654.4601183459</v>
      </c>
      <c r="R109" s="38">
        <f t="shared" si="11"/>
        <v>0.12769188274855339</v>
      </c>
    </row>
    <row r="110" spans="1:39">
      <c r="A110" s="2">
        <v>43800</v>
      </c>
      <c r="B110">
        <f t="shared" si="7"/>
        <v>2019</v>
      </c>
      <c r="C110">
        <f t="shared" si="8"/>
        <v>12</v>
      </c>
      <c r="D110" s="69">
        <v>28146546.1686747</v>
      </c>
      <c r="E110" s="69">
        <v>1408690.5797202766</v>
      </c>
      <c r="F110" s="69">
        <v>29555236.748394977</v>
      </c>
      <c r="G110" s="86">
        <v>520.4</v>
      </c>
      <c r="H110" s="63">
        <v>0</v>
      </c>
      <c r="I110" s="25">
        <v>31</v>
      </c>
      <c r="J110" s="25">
        <v>0</v>
      </c>
      <c r="K110" s="25">
        <v>0</v>
      </c>
      <c r="L110" s="30">
        <v>37321</v>
      </c>
      <c r="M110" s="87">
        <v>0</v>
      </c>
      <c r="N110" s="59">
        <v>0</v>
      </c>
      <c r="O110" s="25">
        <f t="shared" si="12"/>
        <v>30357338.26436422</v>
      </c>
      <c r="P110" s="65">
        <f t="shared" si="9"/>
        <v>28948647.684643943</v>
      </c>
      <c r="Q110" s="25">
        <f t="shared" si="10"/>
        <v>802101.5159692429</v>
      </c>
      <c r="R110" s="38">
        <f t="shared" si="11"/>
        <v>2.7139065837894251E-2</v>
      </c>
    </row>
    <row r="111" spans="1:39">
      <c r="A111" s="2">
        <v>43831</v>
      </c>
      <c r="B111">
        <f t="shared" si="7"/>
        <v>2020</v>
      </c>
      <c r="C111">
        <f t="shared" si="8"/>
        <v>1</v>
      </c>
      <c r="D111" s="69">
        <v>29703689.253012061</v>
      </c>
      <c r="E111" s="69">
        <v>1392643.6565677822</v>
      </c>
      <c r="F111" s="69">
        <v>31096332.909579843</v>
      </c>
      <c r="G111" s="86">
        <v>543</v>
      </c>
      <c r="H111" s="63">
        <v>0</v>
      </c>
      <c r="I111" s="25">
        <v>31</v>
      </c>
      <c r="J111" s="25">
        <v>0</v>
      </c>
      <c r="K111" s="25">
        <v>0</v>
      </c>
      <c r="L111" s="30">
        <v>37330</v>
      </c>
      <c r="M111" s="87">
        <v>0</v>
      </c>
      <c r="N111" s="59">
        <v>0</v>
      </c>
      <c r="O111" s="25">
        <f t="shared" si="12"/>
        <v>30536606.619042847</v>
      </c>
      <c r="P111" s="65">
        <f t="shared" si="9"/>
        <v>29143962.962475065</v>
      </c>
      <c r="Q111" s="25">
        <f t="shared" si="10"/>
        <v>-559726.29053699598</v>
      </c>
      <c r="R111" s="38">
        <f t="shared" si="11"/>
        <v>1.7999752323353897E-2</v>
      </c>
      <c r="S111" s="11"/>
      <c r="AE111" s="29"/>
      <c r="AF111" s="29"/>
      <c r="AG111" s="29"/>
    </row>
    <row r="112" spans="1:39">
      <c r="A112" s="2">
        <v>43862</v>
      </c>
      <c r="B112">
        <f t="shared" si="7"/>
        <v>2020</v>
      </c>
      <c r="C112">
        <f t="shared" si="8"/>
        <v>2</v>
      </c>
      <c r="D112" s="69">
        <v>25536377.551807232</v>
      </c>
      <c r="E112" s="69">
        <v>1392643.6565677822</v>
      </c>
      <c r="F112" s="69">
        <v>26929021.208375014</v>
      </c>
      <c r="G112" s="86">
        <v>553.80000000000007</v>
      </c>
      <c r="H112" s="63">
        <v>0</v>
      </c>
      <c r="I112" s="25">
        <v>29</v>
      </c>
      <c r="J112" s="25">
        <v>0</v>
      </c>
      <c r="K112" s="25">
        <v>0</v>
      </c>
      <c r="L112" s="30">
        <v>37362</v>
      </c>
      <c r="M112" s="87">
        <v>0</v>
      </c>
      <c r="N112" s="59">
        <v>0</v>
      </c>
      <c r="O112" s="25">
        <f t="shared" si="12"/>
        <v>29113400.984950412</v>
      </c>
      <c r="P112" s="65">
        <f t="shared" si="9"/>
        <v>27720757.32838263</v>
      </c>
      <c r="Q112" s="25">
        <f t="shared" si="10"/>
        <v>2184379.7765753977</v>
      </c>
      <c r="R112" s="38">
        <f t="shared" si="11"/>
        <v>8.1116196525406886E-2</v>
      </c>
    </row>
    <row r="113" spans="1:18">
      <c r="A113" s="2">
        <v>43891</v>
      </c>
      <c r="B113">
        <f t="shared" si="7"/>
        <v>2020</v>
      </c>
      <c r="C113">
        <f t="shared" si="8"/>
        <v>3</v>
      </c>
      <c r="D113" s="69">
        <v>24945910.043373495</v>
      </c>
      <c r="E113" s="69">
        <v>1392643.6565677822</v>
      </c>
      <c r="F113" s="69">
        <v>26338553.699941278</v>
      </c>
      <c r="G113" s="86">
        <v>396.7</v>
      </c>
      <c r="H113" s="63">
        <v>0</v>
      </c>
      <c r="I113" s="25">
        <v>31</v>
      </c>
      <c r="J113" s="25">
        <v>1</v>
      </c>
      <c r="K113" s="25">
        <v>0</v>
      </c>
      <c r="L113" s="30">
        <v>37440</v>
      </c>
      <c r="M113" s="87">
        <v>396.7</v>
      </c>
      <c r="N113" s="59">
        <v>0</v>
      </c>
      <c r="O113" s="25">
        <f t="shared" si="12"/>
        <v>26062289.815967031</v>
      </c>
      <c r="P113" s="65">
        <f t="shared" si="9"/>
        <v>24669646.159399249</v>
      </c>
      <c r="Q113" s="25">
        <f t="shared" si="10"/>
        <v>-276263.88397424668</v>
      </c>
      <c r="R113" s="38">
        <f t="shared" si="11"/>
        <v>1.0488954219793118E-2</v>
      </c>
    </row>
    <row r="114" spans="1:18">
      <c r="A114" s="2">
        <v>43922</v>
      </c>
      <c r="B114">
        <f t="shared" si="7"/>
        <v>2020</v>
      </c>
      <c r="C114">
        <f t="shared" si="8"/>
        <v>4</v>
      </c>
      <c r="D114" s="69">
        <v>25646430.178313266</v>
      </c>
      <c r="E114" s="69">
        <v>1392643.6565677822</v>
      </c>
      <c r="F114" s="69">
        <v>27039073.834881049</v>
      </c>
      <c r="G114" s="86">
        <v>302.29999999999995</v>
      </c>
      <c r="H114" s="63">
        <v>0</v>
      </c>
      <c r="I114" s="25">
        <v>30</v>
      </c>
      <c r="J114" s="25">
        <v>1</v>
      </c>
      <c r="K114" s="25">
        <v>0</v>
      </c>
      <c r="L114" s="30">
        <v>37485</v>
      </c>
      <c r="M114" s="87">
        <v>302.29999999999995</v>
      </c>
      <c r="N114" s="59">
        <v>0</v>
      </c>
      <c r="O114" s="25">
        <f t="shared" si="12"/>
        <v>24609642.830867302</v>
      </c>
      <c r="P114" s="65">
        <f t="shared" si="9"/>
        <v>23216999.17429952</v>
      </c>
      <c r="Q114" s="25">
        <f t="shared" si="10"/>
        <v>-2429431.004013747</v>
      </c>
      <c r="R114" s="38">
        <f t="shared" si="11"/>
        <v>8.9848898629054486E-2</v>
      </c>
    </row>
    <row r="115" spans="1:18">
      <c r="A115" s="2">
        <v>43952</v>
      </c>
      <c r="B115">
        <f t="shared" si="7"/>
        <v>2020</v>
      </c>
      <c r="C115">
        <f t="shared" si="8"/>
        <v>5</v>
      </c>
      <c r="D115" s="69">
        <v>25915345.012048189</v>
      </c>
      <c r="E115" s="69">
        <v>1392643.6565677822</v>
      </c>
      <c r="F115" s="69">
        <v>27307988.668615971</v>
      </c>
      <c r="G115" s="86">
        <v>160.9</v>
      </c>
      <c r="H115" s="63">
        <v>39</v>
      </c>
      <c r="I115" s="25">
        <v>31</v>
      </c>
      <c r="J115" s="25">
        <v>1</v>
      </c>
      <c r="K115" s="25">
        <v>0</v>
      </c>
      <c r="L115" s="30">
        <v>37545</v>
      </c>
      <c r="M115" s="87">
        <v>160.9</v>
      </c>
      <c r="N115" s="59">
        <v>39</v>
      </c>
      <c r="O115" s="25">
        <f t="shared" si="12"/>
        <v>26371341.252024718</v>
      </c>
      <c r="P115" s="65">
        <f t="shared" si="9"/>
        <v>24978697.595456935</v>
      </c>
      <c r="Q115" s="25">
        <f t="shared" si="10"/>
        <v>-936647.41659125313</v>
      </c>
      <c r="R115" s="38">
        <f t="shared" si="11"/>
        <v>3.4299392311807508E-2</v>
      </c>
    </row>
    <row r="116" spans="1:18">
      <c r="A116" s="2">
        <v>43983</v>
      </c>
      <c r="B116">
        <f t="shared" si="7"/>
        <v>2020</v>
      </c>
      <c r="C116">
        <f t="shared" si="8"/>
        <v>6</v>
      </c>
      <c r="D116" s="69">
        <v>37641354.804819241</v>
      </c>
      <c r="E116" s="69">
        <v>1392643.6565677822</v>
      </c>
      <c r="F116" s="69">
        <v>39033998.461387023</v>
      </c>
      <c r="G116" s="86">
        <v>9.2999999999999989</v>
      </c>
      <c r="H116" s="63">
        <v>143.20000000000002</v>
      </c>
      <c r="I116" s="25">
        <v>30</v>
      </c>
      <c r="J116" s="25">
        <v>0</v>
      </c>
      <c r="K116" s="25">
        <v>0</v>
      </c>
      <c r="L116" s="30">
        <v>37663</v>
      </c>
      <c r="M116" s="87">
        <v>9.2999999999999989</v>
      </c>
      <c r="N116" s="59">
        <v>143.20000000000002</v>
      </c>
      <c r="O116" s="25">
        <f t="shared" si="12"/>
        <v>33405115.938421205</v>
      </c>
      <c r="P116" s="65">
        <f t="shared" si="9"/>
        <v>32012472.281853423</v>
      </c>
      <c r="Q116" s="25">
        <f t="shared" si="10"/>
        <v>-5628882.5229658186</v>
      </c>
      <c r="R116" s="38">
        <f t="shared" si="11"/>
        <v>0.14420460995134762</v>
      </c>
    </row>
    <row r="117" spans="1:18">
      <c r="A117" s="2">
        <v>44013</v>
      </c>
      <c r="B117">
        <f t="shared" si="7"/>
        <v>2020</v>
      </c>
      <c r="C117">
        <f t="shared" si="8"/>
        <v>7</v>
      </c>
      <c r="D117" s="69">
        <v>44487853.166265093</v>
      </c>
      <c r="E117" s="69">
        <v>1392643.6565677822</v>
      </c>
      <c r="F117" s="69">
        <v>45880496.822832875</v>
      </c>
      <c r="G117" s="86">
        <v>0</v>
      </c>
      <c r="H117" s="63">
        <v>277.7</v>
      </c>
      <c r="I117" s="25">
        <v>31</v>
      </c>
      <c r="J117" s="25">
        <v>0</v>
      </c>
      <c r="K117" s="25">
        <v>0</v>
      </c>
      <c r="L117" s="30">
        <v>37791</v>
      </c>
      <c r="M117" s="87">
        <v>0</v>
      </c>
      <c r="N117" s="59">
        <v>277.7</v>
      </c>
      <c r="O117" s="25">
        <f t="shared" si="12"/>
        <v>41204447.293695472</v>
      </c>
      <c r="P117" s="65">
        <f t="shared" si="9"/>
        <v>39811803.63712769</v>
      </c>
      <c r="Q117" s="25">
        <f t="shared" si="10"/>
        <v>-4676049.5291374028</v>
      </c>
      <c r="R117" s="38">
        <f t="shared" si="11"/>
        <v>0.10191802297158913</v>
      </c>
    </row>
    <row r="118" spans="1:18">
      <c r="A118" s="2">
        <v>44044</v>
      </c>
      <c r="B118">
        <f t="shared" si="7"/>
        <v>2020</v>
      </c>
      <c r="C118">
        <f t="shared" si="8"/>
        <v>8</v>
      </c>
      <c r="D118" s="69">
        <v>38799720.212048218</v>
      </c>
      <c r="E118" s="69">
        <v>1392643.6565677822</v>
      </c>
      <c r="F118" s="69">
        <v>40192363.868616</v>
      </c>
      <c r="G118" s="86">
        <v>0</v>
      </c>
      <c r="H118" s="63">
        <v>187.89999999999998</v>
      </c>
      <c r="I118" s="25">
        <v>31</v>
      </c>
      <c r="J118" s="25">
        <v>0</v>
      </c>
      <c r="K118" s="25">
        <v>0</v>
      </c>
      <c r="L118" s="30">
        <v>37841</v>
      </c>
      <c r="M118" s="87">
        <v>0</v>
      </c>
      <c r="N118" s="59">
        <v>187.89999999999998</v>
      </c>
      <c r="O118" s="25">
        <f t="shared" si="12"/>
        <v>36559932.224008799</v>
      </c>
      <c r="P118" s="65">
        <f t="shared" si="9"/>
        <v>35167288.567441016</v>
      </c>
      <c r="Q118" s="25">
        <f t="shared" si="10"/>
        <v>-3632431.6446072012</v>
      </c>
      <c r="R118" s="38">
        <f t="shared" si="11"/>
        <v>9.0376163404600515E-2</v>
      </c>
    </row>
    <row r="119" spans="1:18">
      <c r="A119" s="2">
        <v>44075</v>
      </c>
      <c r="B119">
        <f t="shared" si="7"/>
        <v>2020</v>
      </c>
      <c r="C119">
        <f t="shared" si="8"/>
        <v>9</v>
      </c>
      <c r="D119" s="69">
        <v>27206302.631325286</v>
      </c>
      <c r="E119" s="69">
        <v>1392643.6565677822</v>
      </c>
      <c r="F119" s="69">
        <v>28598946.287893068</v>
      </c>
      <c r="G119" s="86">
        <v>35.6</v>
      </c>
      <c r="H119" s="63">
        <v>59.8</v>
      </c>
      <c r="I119" s="25">
        <v>30</v>
      </c>
      <c r="J119" s="25">
        <v>1</v>
      </c>
      <c r="K119" s="25">
        <v>1</v>
      </c>
      <c r="L119" s="30">
        <v>37918</v>
      </c>
      <c r="M119" s="87">
        <v>35.6</v>
      </c>
      <c r="N119" s="59">
        <v>59.8</v>
      </c>
      <c r="O119" s="25">
        <f t="shared" si="12"/>
        <v>27690274.604967166</v>
      </c>
      <c r="P119" s="65">
        <f t="shared" si="9"/>
        <v>26297630.948399384</v>
      </c>
      <c r="Q119" s="25">
        <f t="shared" si="10"/>
        <v>-908671.68292590231</v>
      </c>
      <c r="R119" s="38">
        <f t="shared" si="11"/>
        <v>3.1772907777045431E-2</v>
      </c>
    </row>
    <row r="120" spans="1:18">
      <c r="A120" s="2">
        <v>44105</v>
      </c>
      <c r="B120">
        <f t="shared" si="7"/>
        <v>2020</v>
      </c>
      <c r="C120">
        <f t="shared" si="8"/>
        <v>10</v>
      </c>
      <c r="D120" s="69">
        <v>24001107.065060236</v>
      </c>
      <c r="E120" s="69">
        <v>1392643.6565677822</v>
      </c>
      <c r="F120" s="69">
        <v>25393750.721628018</v>
      </c>
      <c r="G120" s="86">
        <v>208.8</v>
      </c>
      <c r="H120" s="63">
        <v>0.5</v>
      </c>
      <c r="I120" s="25">
        <v>31</v>
      </c>
      <c r="J120" s="25">
        <v>1</v>
      </c>
      <c r="K120" s="25">
        <v>0</v>
      </c>
      <c r="L120" s="30">
        <v>37985</v>
      </c>
      <c r="M120" s="87">
        <v>208.8</v>
      </c>
      <c r="N120" s="59">
        <v>0.5</v>
      </c>
      <c r="O120" s="25">
        <f t="shared" si="12"/>
        <v>25054056.03521746</v>
      </c>
      <c r="P120" s="65">
        <f t="shared" si="9"/>
        <v>23661412.378649678</v>
      </c>
      <c r="Q120" s="25">
        <f t="shared" si="10"/>
        <v>-339694.68641055748</v>
      </c>
      <c r="R120" s="38">
        <f t="shared" si="11"/>
        <v>1.3377097780251791E-2</v>
      </c>
    </row>
    <row r="121" spans="1:18">
      <c r="A121" s="2">
        <v>44136</v>
      </c>
      <c r="B121">
        <f t="shared" si="7"/>
        <v>2020</v>
      </c>
      <c r="C121">
        <f t="shared" si="8"/>
        <v>11</v>
      </c>
      <c r="D121" s="69">
        <v>21906254.004819274</v>
      </c>
      <c r="E121" s="69">
        <v>1392643.6565677822</v>
      </c>
      <c r="F121" s="69">
        <v>23298897.661387056</v>
      </c>
      <c r="G121" s="86">
        <v>274.89999999999998</v>
      </c>
      <c r="H121" s="63">
        <v>0.10000000000000142</v>
      </c>
      <c r="I121" s="25">
        <v>30</v>
      </c>
      <c r="J121" s="25">
        <v>1</v>
      </c>
      <c r="K121" s="25">
        <v>0</v>
      </c>
      <c r="L121" s="30">
        <v>38048</v>
      </c>
      <c r="M121" s="87">
        <v>274.89999999999998</v>
      </c>
      <c r="N121" s="59">
        <v>0.10000000000000142</v>
      </c>
      <c r="O121" s="25">
        <f t="shared" si="12"/>
        <v>24819887.310720094</v>
      </c>
      <c r="P121" s="65">
        <f t="shared" si="9"/>
        <v>23427243.654152311</v>
      </c>
      <c r="Q121" s="25">
        <f t="shared" si="10"/>
        <v>1520989.6493330374</v>
      </c>
      <c r="R121" s="38">
        <f t="shared" si="11"/>
        <v>6.5281614239361754E-2</v>
      </c>
    </row>
    <row r="122" spans="1:18">
      <c r="A122" s="2">
        <v>44166</v>
      </c>
      <c r="B122">
        <f t="shared" si="7"/>
        <v>2020</v>
      </c>
      <c r="C122">
        <f t="shared" si="8"/>
        <v>12</v>
      </c>
      <c r="D122" s="69">
        <v>28015587.036144584</v>
      </c>
      <c r="E122" s="69">
        <v>1392643.6565677822</v>
      </c>
      <c r="F122" s="69">
        <v>29408230.692712367</v>
      </c>
      <c r="G122" s="86">
        <v>505.3</v>
      </c>
      <c r="H122" s="63">
        <v>0</v>
      </c>
      <c r="I122" s="25">
        <v>31</v>
      </c>
      <c r="J122" s="25">
        <v>0</v>
      </c>
      <c r="K122" s="25">
        <v>0</v>
      </c>
      <c r="L122" s="30">
        <v>38063</v>
      </c>
      <c r="M122" s="87">
        <v>505.3</v>
      </c>
      <c r="N122" s="59">
        <v>0</v>
      </c>
      <c r="O122" s="25">
        <f t="shared" si="12"/>
        <v>30788067.612616349</v>
      </c>
      <c r="P122" s="65">
        <f t="shared" si="9"/>
        <v>29395423.956048567</v>
      </c>
      <c r="Q122" s="25">
        <f t="shared" si="10"/>
        <v>1379836.9199039824</v>
      </c>
      <c r="R122" s="38">
        <f t="shared" si="11"/>
        <v>4.6920093028443188E-2</v>
      </c>
    </row>
    <row r="123" spans="1:18">
      <c r="A123" s="2">
        <v>44197</v>
      </c>
      <c r="B123">
        <f t="shared" si="7"/>
        <v>2021</v>
      </c>
      <c r="C123">
        <f t="shared" si="8"/>
        <v>1</v>
      </c>
      <c r="D123" s="69">
        <v>32091025.21445784</v>
      </c>
      <c r="E123" s="69">
        <v>1381348.8588926599</v>
      </c>
      <c r="F123" s="69">
        <v>33472374.0733505</v>
      </c>
      <c r="G123" s="86">
        <v>577.99999999999989</v>
      </c>
      <c r="H123" s="63">
        <v>0</v>
      </c>
      <c r="I123" s="25">
        <v>31</v>
      </c>
      <c r="J123" s="25">
        <v>0</v>
      </c>
      <c r="K123" s="25">
        <v>0</v>
      </c>
      <c r="L123" s="30">
        <v>38101</v>
      </c>
      <c r="M123" s="87">
        <v>577.99999999999989</v>
      </c>
      <c r="N123" s="59">
        <v>0</v>
      </c>
      <c r="O123" s="25">
        <f t="shared" si="12"/>
        <v>31371400.03285658</v>
      </c>
      <c r="P123" s="65">
        <f t="shared" si="9"/>
        <v>29990051.173963919</v>
      </c>
      <c r="Q123" s="25">
        <f t="shared" si="10"/>
        <v>-2100974.0404939204</v>
      </c>
      <c r="R123" s="38">
        <f t="shared" si="11"/>
        <v>6.276740442401546E-2</v>
      </c>
    </row>
    <row r="124" spans="1:18">
      <c r="A124" s="2">
        <v>44228</v>
      </c>
      <c r="B124">
        <f t="shared" si="7"/>
        <v>2021</v>
      </c>
      <c r="C124">
        <f t="shared" si="8"/>
        <v>2</v>
      </c>
      <c r="D124" s="69">
        <v>30522858.187951799</v>
      </c>
      <c r="E124" s="69">
        <v>1381348.8588926599</v>
      </c>
      <c r="F124" s="69">
        <v>31904207.04684446</v>
      </c>
      <c r="G124" s="86">
        <v>597.70000000000005</v>
      </c>
      <c r="H124" s="63">
        <v>0</v>
      </c>
      <c r="I124" s="25">
        <v>28</v>
      </c>
      <c r="J124" s="25">
        <v>0</v>
      </c>
      <c r="K124" s="25">
        <v>0</v>
      </c>
      <c r="L124" s="30">
        <v>38138</v>
      </c>
      <c r="M124" s="87">
        <v>597.70000000000005</v>
      </c>
      <c r="N124" s="59">
        <v>0</v>
      </c>
      <c r="O124" s="25">
        <f t="shared" si="12"/>
        <v>29255233.065822896</v>
      </c>
      <c r="P124" s="65">
        <f t="shared" si="9"/>
        <v>27873884.206930235</v>
      </c>
      <c r="Q124" s="25">
        <f t="shared" si="10"/>
        <v>-2648973.9810215645</v>
      </c>
      <c r="R124" s="38">
        <f t="shared" si="11"/>
        <v>8.3028986651575959E-2</v>
      </c>
    </row>
    <row r="125" spans="1:18">
      <c r="A125" s="2">
        <v>44256</v>
      </c>
      <c r="B125">
        <f t="shared" si="7"/>
        <v>2021</v>
      </c>
      <c r="C125">
        <f t="shared" si="8"/>
        <v>3</v>
      </c>
      <c r="D125" s="69">
        <v>26534307.575903594</v>
      </c>
      <c r="E125" s="69">
        <v>1381348.8588926599</v>
      </c>
      <c r="F125" s="69">
        <v>27915656.434796255</v>
      </c>
      <c r="G125" s="86">
        <v>398.70000000000005</v>
      </c>
      <c r="H125" s="63">
        <v>0</v>
      </c>
      <c r="I125" s="25">
        <v>31</v>
      </c>
      <c r="J125" s="25">
        <v>1</v>
      </c>
      <c r="K125" s="25">
        <v>0</v>
      </c>
      <c r="L125" s="30">
        <v>38255</v>
      </c>
      <c r="M125" s="87">
        <v>398.70000000000005</v>
      </c>
      <c r="N125" s="59">
        <v>0</v>
      </c>
      <c r="O125" s="25">
        <f t="shared" si="12"/>
        <v>26677373.487899348</v>
      </c>
      <c r="P125" s="65">
        <f t="shared" si="9"/>
        <v>25296024.629006688</v>
      </c>
      <c r="Q125" s="25">
        <f t="shared" si="10"/>
        <v>-1238282.9468969069</v>
      </c>
      <c r="R125" s="38">
        <f t="shared" si="11"/>
        <v>4.4358009269429691E-2</v>
      </c>
    </row>
    <row r="126" spans="1:18">
      <c r="A126" s="2">
        <v>44287</v>
      </c>
      <c r="B126">
        <f t="shared" si="7"/>
        <v>2021</v>
      </c>
      <c r="C126">
        <f t="shared" si="8"/>
        <v>4</v>
      </c>
      <c r="D126" s="69">
        <v>24380831.836144578</v>
      </c>
      <c r="E126" s="69">
        <v>1381348.8588926599</v>
      </c>
      <c r="F126" s="69">
        <v>25762180.695037238</v>
      </c>
      <c r="G126" s="86">
        <v>242.4</v>
      </c>
      <c r="H126" s="63">
        <v>0</v>
      </c>
      <c r="I126" s="25">
        <f t="shared" ref="I126:I158" si="13">I78</f>
        <v>30</v>
      </c>
      <c r="J126" s="25">
        <v>1</v>
      </c>
      <c r="K126" s="25">
        <v>0</v>
      </c>
      <c r="L126" s="30">
        <v>38336</v>
      </c>
      <c r="M126" s="87">
        <v>242.4</v>
      </c>
      <c r="N126" s="59">
        <v>0</v>
      </c>
      <c r="O126" s="25">
        <f t="shared" si="12"/>
        <v>24778357.733524915</v>
      </c>
      <c r="P126" s="65">
        <f t="shared" si="9"/>
        <v>23397008.874632254</v>
      </c>
      <c r="Q126" s="25">
        <f t="shared" si="10"/>
        <v>-983822.96151232347</v>
      </c>
      <c r="R126" s="38">
        <f t="shared" si="11"/>
        <v>3.8188652317846863E-2</v>
      </c>
    </row>
    <row r="127" spans="1:18">
      <c r="A127" s="2">
        <v>44317</v>
      </c>
      <c r="B127">
        <f t="shared" si="7"/>
        <v>2021</v>
      </c>
      <c r="C127">
        <f t="shared" si="8"/>
        <v>5</v>
      </c>
      <c r="D127" s="69">
        <v>26420547.893975921</v>
      </c>
      <c r="E127" s="69">
        <v>1381348.8588926599</v>
      </c>
      <c r="F127" s="69">
        <v>27801896.752868582</v>
      </c>
      <c r="G127" s="86">
        <v>118.79999999999998</v>
      </c>
      <c r="H127" s="63">
        <v>44.499999999999986</v>
      </c>
      <c r="I127" s="25">
        <f t="shared" si="13"/>
        <v>31</v>
      </c>
      <c r="J127" s="25">
        <v>1</v>
      </c>
      <c r="K127" s="25">
        <v>0</v>
      </c>
      <c r="L127" s="30">
        <v>38428</v>
      </c>
      <c r="M127" s="87">
        <v>118.79999999999998</v>
      </c>
      <c r="N127" s="59">
        <v>44.499999999999986</v>
      </c>
      <c r="O127" s="25">
        <f t="shared" si="12"/>
        <v>26986301.00881796</v>
      </c>
      <c r="P127" s="65">
        <f t="shared" si="9"/>
        <v>25604952.149925299</v>
      </c>
      <c r="Q127" s="25">
        <f t="shared" si="10"/>
        <v>-815595.74405062199</v>
      </c>
      <c r="R127" s="38">
        <f t="shared" si="11"/>
        <v>2.9335974854538274E-2</v>
      </c>
    </row>
    <row r="128" spans="1:18">
      <c r="A128" s="2">
        <v>44348</v>
      </c>
      <c r="B128">
        <f t="shared" ref="B128:B134" si="14">YEAR(A128)</f>
        <v>2021</v>
      </c>
      <c r="C128">
        <f t="shared" ref="C128:C134" si="15">MONTH(A128)</f>
        <v>6</v>
      </c>
      <c r="D128" s="69">
        <v>35429511.624096349</v>
      </c>
      <c r="E128" s="69">
        <v>1381348.8588926599</v>
      </c>
      <c r="F128" s="69">
        <v>36810860.482989006</v>
      </c>
      <c r="G128" s="86">
        <v>1.1999999999999993</v>
      </c>
      <c r="H128" s="63">
        <v>176.20000000000005</v>
      </c>
      <c r="I128" s="25">
        <v>30</v>
      </c>
      <c r="J128" s="25">
        <v>0</v>
      </c>
      <c r="K128" s="25">
        <v>0</v>
      </c>
      <c r="L128" s="30">
        <v>38487</v>
      </c>
      <c r="M128" s="87">
        <v>1.1999999999999993</v>
      </c>
      <c r="N128" s="59">
        <v>176.20000000000005</v>
      </c>
      <c r="O128" s="25">
        <f t="shared" si="12"/>
        <v>35669972.148525335</v>
      </c>
      <c r="P128" s="65">
        <f t="shared" ref="P128:P134" si="16">O128-E128</f>
        <v>34288623.289632678</v>
      </c>
      <c r="Q128" s="25">
        <f t="shared" ref="Q128:Q134" si="17">+O128-F128</f>
        <v>-1140888.3344636708</v>
      </c>
      <c r="R128" s="38">
        <f t="shared" ref="R128:R134" si="18">ABS(Q128/F128)</f>
        <v>3.0993253607611182E-2</v>
      </c>
    </row>
    <row r="129" spans="1:21">
      <c r="A129" s="2">
        <v>44378</v>
      </c>
      <c r="B129">
        <f t="shared" si="14"/>
        <v>2021</v>
      </c>
      <c r="C129">
        <f t="shared" si="15"/>
        <v>7</v>
      </c>
      <c r="D129" s="69">
        <v>37354488.337349385</v>
      </c>
      <c r="E129" s="69">
        <v>1381348.8588926599</v>
      </c>
      <c r="F129" s="69">
        <v>38735837.196242042</v>
      </c>
      <c r="G129" s="86">
        <v>0</v>
      </c>
      <c r="H129" s="63">
        <v>166.3</v>
      </c>
      <c r="I129" s="25">
        <v>31</v>
      </c>
      <c r="J129" s="25">
        <v>0</v>
      </c>
      <c r="K129" s="25">
        <v>0</v>
      </c>
      <c r="L129" s="30">
        <v>38553</v>
      </c>
      <c r="M129" s="87">
        <v>0</v>
      </c>
      <c r="N129" s="59">
        <v>166.3</v>
      </c>
      <c r="O129" s="25">
        <f t="shared" si="12"/>
        <v>35957916.60859488</v>
      </c>
      <c r="P129" s="65">
        <f t="shared" si="16"/>
        <v>34576567.749702223</v>
      </c>
      <c r="Q129" s="25">
        <f t="shared" si="17"/>
        <v>-2777920.5876471624</v>
      </c>
      <c r="R129" s="38">
        <f t="shared" si="18"/>
        <v>7.1714484279086721E-2</v>
      </c>
    </row>
    <row r="130" spans="1:21">
      <c r="A130" s="2">
        <v>44409</v>
      </c>
      <c r="B130">
        <f t="shared" si="14"/>
        <v>2021</v>
      </c>
      <c r="C130">
        <f t="shared" si="15"/>
        <v>8</v>
      </c>
      <c r="D130" s="69">
        <v>40364094.120481901</v>
      </c>
      <c r="E130" s="69">
        <v>1381348.8588926599</v>
      </c>
      <c r="F130" s="69">
        <v>41745442.979374558</v>
      </c>
      <c r="G130" s="86">
        <v>0</v>
      </c>
      <c r="H130" s="63">
        <v>241.4</v>
      </c>
      <c r="I130" s="25">
        <v>31</v>
      </c>
      <c r="J130" s="25">
        <v>0</v>
      </c>
      <c r="K130" s="25">
        <v>0</v>
      </c>
      <c r="L130" s="30">
        <v>38570</v>
      </c>
      <c r="M130" s="87">
        <v>0</v>
      </c>
      <c r="N130" s="59">
        <v>241.4</v>
      </c>
      <c r="O130" s="25">
        <f t="shared" si="12"/>
        <v>39885423.456668124</v>
      </c>
      <c r="P130" s="65">
        <f t="shared" si="16"/>
        <v>38504074.597775467</v>
      </c>
      <c r="Q130" s="25">
        <f t="shared" si="17"/>
        <v>-1860019.5227064341</v>
      </c>
      <c r="R130" s="38">
        <f t="shared" si="18"/>
        <v>4.4556229134409382E-2</v>
      </c>
    </row>
    <row r="131" spans="1:21">
      <c r="A131" s="2">
        <v>44440</v>
      </c>
      <c r="B131">
        <f t="shared" si="14"/>
        <v>2021</v>
      </c>
      <c r="C131">
        <f t="shared" si="15"/>
        <v>9</v>
      </c>
      <c r="D131" s="69">
        <v>30965429.060240969</v>
      </c>
      <c r="E131" s="69">
        <v>1381348.8588926599</v>
      </c>
      <c r="F131" s="69">
        <v>32346777.91913363</v>
      </c>
      <c r="G131" s="86">
        <v>14.3</v>
      </c>
      <c r="H131" s="63">
        <v>63.599999999999994</v>
      </c>
      <c r="I131" s="25">
        <v>30</v>
      </c>
      <c r="J131" s="25">
        <v>1</v>
      </c>
      <c r="K131" s="25">
        <v>1</v>
      </c>
      <c r="L131" s="30">
        <v>38649</v>
      </c>
      <c r="M131" s="87">
        <v>14.3</v>
      </c>
      <c r="N131" s="59">
        <v>63.599999999999994</v>
      </c>
      <c r="O131" s="25">
        <f t="shared" si="12"/>
        <v>28263641.353092387</v>
      </c>
      <c r="P131" s="65">
        <f>O131-E131</f>
        <v>26882292.494199727</v>
      </c>
      <c r="Q131" s="25">
        <f>+O131-F131</f>
        <v>-4083136.5660412423</v>
      </c>
      <c r="R131" s="38">
        <f t="shared" si="18"/>
        <v>0.12623008623143273</v>
      </c>
    </row>
    <row r="132" spans="1:21">
      <c r="A132" s="2">
        <v>44470</v>
      </c>
      <c r="B132">
        <f t="shared" si="14"/>
        <v>2021</v>
      </c>
      <c r="C132">
        <f t="shared" si="15"/>
        <v>10</v>
      </c>
      <c r="D132" s="69">
        <v>24701351.469879605</v>
      </c>
      <c r="E132" s="69">
        <v>1381348.8588926599</v>
      </c>
      <c r="F132" s="69">
        <v>26082700.328772265</v>
      </c>
      <c r="G132" s="86">
        <v>102.60000000000001</v>
      </c>
      <c r="H132" s="63">
        <v>24.999999999999993</v>
      </c>
      <c r="I132" s="25">
        <f t="shared" si="13"/>
        <v>31</v>
      </c>
      <c r="J132" s="25">
        <v>1</v>
      </c>
      <c r="K132" s="25">
        <v>0</v>
      </c>
      <c r="L132" s="30">
        <v>38774</v>
      </c>
      <c r="M132" s="87">
        <v>102.60000000000001</v>
      </c>
      <c r="N132" s="59">
        <v>24.999999999999993</v>
      </c>
      <c r="O132" s="25">
        <f t="shared" si="12"/>
        <v>26100644.660791125</v>
      </c>
      <c r="P132" s="65">
        <f t="shared" si="16"/>
        <v>24719295.801898465</v>
      </c>
      <c r="Q132" s="25">
        <f>+O132-F132</f>
        <v>17944.332018859684</v>
      </c>
      <c r="R132" s="38">
        <f t="shared" si="18"/>
        <v>6.8797830717952889E-4</v>
      </c>
    </row>
    <row r="133" spans="1:21">
      <c r="A133" s="2">
        <v>44501</v>
      </c>
      <c r="B133">
        <f t="shared" si="14"/>
        <v>2021</v>
      </c>
      <c r="C133">
        <f t="shared" si="15"/>
        <v>11</v>
      </c>
      <c r="D133" s="69">
        <v>23015449.214457814</v>
      </c>
      <c r="E133" s="69">
        <v>1381348.8588926599</v>
      </c>
      <c r="F133" s="69">
        <v>24396798.073350474</v>
      </c>
      <c r="G133" s="86">
        <v>353.7</v>
      </c>
      <c r="H133" s="63">
        <v>0</v>
      </c>
      <c r="I133" s="25">
        <f t="shared" si="13"/>
        <v>30</v>
      </c>
      <c r="J133" s="25">
        <v>1</v>
      </c>
      <c r="K133" s="25">
        <v>0</v>
      </c>
      <c r="L133" s="30">
        <v>38781</v>
      </c>
      <c r="M133" s="87">
        <v>353.7</v>
      </c>
      <c r="N133" s="59">
        <v>0</v>
      </c>
      <c r="O133" s="25">
        <f t="shared" si="12"/>
        <v>25956095.962833405</v>
      </c>
      <c r="P133" s="65">
        <f t="shared" si="16"/>
        <v>24574747.103940744</v>
      </c>
      <c r="Q133" s="25">
        <f t="shared" si="17"/>
        <v>1559297.8894829303</v>
      </c>
      <c r="R133" s="38">
        <f t="shared" si="18"/>
        <v>6.3914038424009792E-2</v>
      </c>
    </row>
    <row r="134" spans="1:21">
      <c r="A134" s="2">
        <v>44531</v>
      </c>
      <c r="B134">
        <f t="shared" si="14"/>
        <v>2021</v>
      </c>
      <c r="C134">
        <f t="shared" si="15"/>
        <v>12</v>
      </c>
      <c r="D134" s="69">
        <v>28628265.918072276</v>
      </c>
      <c r="E134" s="69">
        <v>1381348.8588926599</v>
      </c>
      <c r="F134" s="69">
        <v>30009614.776964936</v>
      </c>
      <c r="G134" s="86">
        <v>443.4</v>
      </c>
      <c r="H134" s="63">
        <v>0</v>
      </c>
      <c r="I134" s="25">
        <v>31</v>
      </c>
      <c r="J134" s="25">
        <v>0</v>
      </c>
      <c r="K134" s="25">
        <v>0</v>
      </c>
      <c r="L134" s="30">
        <v>38823</v>
      </c>
      <c r="M134" s="87">
        <v>443.4</v>
      </c>
      <c r="N134" s="59">
        <v>0</v>
      </c>
      <c r="O134" s="25">
        <f t="shared" si="12"/>
        <v>30874532.085885566</v>
      </c>
      <c r="P134" s="65">
        <f t="shared" si="16"/>
        <v>29493183.226992905</v>
      </c>
      <c r="Q134" s="25">
        <f t="shared" si="17"/>
        <v>864917.30892062932</v>
      </c>
      <c r="R134" s="38">
        <f t="shared" si="18"/>
        <v>2.882133993884289E-2</v>
      </c>
      <c r="S134" s="22" t="s">
        <v>4</v>
      </c>
    </row>
    <row r="135" spans="1:21">
      <c r="A135" s="2">
        <v>44562</v>
      </c>
      <c r="B135">
        <f t="shared" ref="B135:B158" si="19">YEAR(A135)</f>
        <v>2022</v>
      </c>
      <c r="C135">
        <f t="shared" ref="C135:C158" si="20">MONTH(A135)</f>
        <v>1</v>
      </c>
      <c r="D135" s="69"/>
      <c r="E135" s="69">
        <v>1378205.8244644934</v>
      </c>
      <c r="F135" s="69"/>
      <c r="G135" s="66">
        <v>625.5</v>
      </c>
      <c r="H135" s="66">
        <v>0</v>
      </c>
      <c r="I135" s="25">
        <f t="shared" si="13"/>
        <v>31</v>
      </c>
      <c r="J135" s="25">
        <f t="shared" ref="J135:J158" si="21">J87</f>
        <v>0</v>
      </c>
      <c r="K135" s="25">
        <f>K123</f>
        <v>0</v>
      </c>
      <c r="L135" s="67">
        <v>38885.5</v>
      </c>
      <c r="M135" s="25">
        <f>G135*S135</f>
        <v>469.125</v>
      </c>
      <c r="N135" s="46">
        <f>H135*S135</f>
        <v>0</v>
      </c>
      <c r="O135" s="25">
        <f t="shared" si="12"/>
        <v>32311618.218852606</v>
      </c>
      <c r="P135" s="65">
        <f t="shared" ref="P135:P158" si="22">O135-E135</f>
        <v>30933412.394388113</v>
      </c>
      <c r="Q135" s="25"/>
      <c r="R135" s="38"/>
      <c r="S135">
        <v>0.75</v>
      </c>
    </row>
    <row r="136" spans="1:21">
      <c r="A136" s="2">
        <v>44593</v>
      </c>
      <c r="B136">
        <f t="shared" si="19"/>
        <v>2022</v>
      </c>
      <c r="C136">
        <f t="shared" si="20"/>
        <v>2</v>
      </c>
      <c r="D136" s="69"/>
      <c r="E136" s="69">
        <f>E135</f>
        <v>1378205.8244644934</v>
      </c>
      <c r="F136" s="69"/>
      <c r="G136" s="66">
        <v>573.20999999999992</v>
      </c>
      <c r="H136" s="66">
        <v>0</v>
      </c>
      <c r="I136" s="25">
        <f t="shared" si="13"/>
        <v>28</v>
      </c>
      <c r="J136" s="25">
        <f t="shared" si="21"/>
        <v>0</v>
      </c>
      <c r="K136" s="25">
        <f t="shared" ref="K136:K158" si="23">K124</f>
        <v>0</v>
      </c>
      <c r="L136" s="67">
        <v>38948</v>
      </c>
      <c r="M136" s="25">
        <f t="shared" ref="M136:M158" si="24">G136*S136</f>
        <v>429.90749999999991</v>
      </c>
      <c r="N136" s="46">
        <f t="shared" ref="N136:N158" si="25">H136*S136</f>
        <v>0</v>
      </c>
      <c r="O136" s="25">
        <f t="shared" si="12"/>
        <v>29664275.928764552</v>
      </c>
      <c r="P136" s="65">
        <f t="shared" si="22"/>
        <v>28286070.104300059</v>
      </c>
      <c r="Q136" s="25"/>
      <c r="R136" s="38"/>
      <c r="S136">
        <f>S135</f>
        <v>0.75</v>
      </c>
    </row>
    <row r="137" spans="1:21">
      <c r="A137" s="2">
        <v>44621</v>
      </c>
      <c r="B137">
        <f t="shared" si="19"/>
        <v>2022</v>
      </c>
      <c r="C137">
        <f t="shared" si="20"/>
        <v>3</v>
      </c>
      <c r="D137" s="69"/>
      <c r="E137" s="69">
        <f t="shared" ref="E137:E146" si="26">E136</f>
        <v>1378205.8244644934</v>
      </c>
      <c r="F137" s="69"/>
      <c r="G137" s="66">
        <v>471.05</v>
      </c>
      <c r="H137" s="66">
        <v>0.3</v>
      </c>
      <c r="I137" s="25">
        <f t="shared" si="13"/>
        <v>31</v>
      </c>
      <c r="J137" s="25">
        <f t="shared" si="21"/>
        <v>1</v>
      </c>
      <c r="K137" s="25">
        <f t="shared" si="23"/>
        <v>0</v>
      </c>
      <c r="L137" s="67">
        <v>39010.5</v>
      </c>
      <c r="M137" s="25">
        <f t="shared" si="24"/>
        <v>353.28750000000002</v>
      </c>
      <c r="N137" s="46">
        <f>H137*S137</f>
        <v>0.22499999999999998</v>
      </c>
      <c r="O137" s="25">
        <f t="shared" si="12"/>
        <v>27801720.855248969</v>
      </c>
      <c r="P137" s="65">
        <f t="shared" si="22"/>
        <v>26423515.030784477</v>
      </c>
      <c r="Q137" s="25"/>
      <c r="R137" s="38"/>
      <c r="S137">
        <f t="shared" ref="S137:S158" si="27">S136</f>
        <v>0.75</v>
      </c>
    </row>
    <row r="138" spans="1:21">
      <c r="A138" s="2">
        <v>44652</v>
      </c>
      <c r="B138">
        <f t="shared" si="19"/>
        <v>2022</v>
      </c>
      <c r="C138">
        <f t="shared" si="20"/>
        <v>4</v>
      </c>
      <c r="D138" s="69"/>
      <c r="E138" s="69">
        <f t="shared" si="26"/>
        <v>1378205.8244644934</v>
      </c>
      <c r="F138" s="69"/>
      <c r="G138" s="66">
        <v>285.58000000000004</v>
      </c>
      <c r="H138" s="66">
        <v>0.38999999999999985</v>
      </c>
      <c r="I138" s="25">
        <f t="shared" si="13"/>
        <v>30</v>
      </c>
      <c r="J138" s="25">
        <f t="shared" si="21"/>
        <v>1</v>
      </c>
      <c r="K138" s="25">
        <f t="shared" si="23"/>
        <v>0</v>
      </c>
      <c r="L138" s="67">
        <v>39073</v>
      </c>
      <c r="M138" s="25">
        <f t="shared" si="24"/>
        <v>214.18500000000003</v>
      </c>
      <c r="N138" s="46">
        <f t="shared" si="25"/>
        <v>0.29249999999999987</v>
      </c>
      <c r="O138" s="25">
        <f t="shared" ref="O138:O158" si="28">$T$19+G138*$T$20+H138*$T$21+I138*$T$22+J138*$T$23+K138*$T$24+L138*$T$25</f>
        <v>25670947.688714527</v>
      </c>
      <c r="P138" s="65">
        <f t="shared" si="22"/>
        <v>24292741.864250034</v>
      </c>
      <c r="Q138" s="25"/>
      <c r="R138" s="38"/>
      <c r="S138">
        <f t="shared" si="27"/>
        <v>0.75</v>
      </c>
    </row>
    <row r="139" spans="1:21">
      <c r="A139" s="2">
        <v>44682</v>
      </c>
      <c r="B139">
        <f t="shared" si="19"/>
        <v>2022</v>
      </c>
      <c r="C139">
        <f t="shared" si="20"/>
        <v>5</v>
      </c>
      <c r="D139" s="69"/>
      <c r="E139" s="69">
        <f t="shared" si="26"/>
        <v>1378205.8244644934</v>
      </c>
      <c r="F139" s="69"/>
      <c r="G139" s="66">
        <v>93.759999999999991</v>
      </c>
      <c r="H139" s="66">
        <v>43.35</v>
      </c>
      <c r="I139" s="25">
        <f t="shared" si="13"/>
        <v>31</v>
      </c>
      <c r="J139" s="25">
        <f t="shared" si="21"/>
        <v>1</v>
      </c>
      <c r="K139" s="25">
        <f t="shared" si="23"/>
        <v>0</v>
      </c>
      <c r="L139" s="67">
        <v>39135.5</v>
      </c>
      <c r="M139" s="25">
        <f t="shared" si="24"/>
        <v>70.319999999999993</v>
      </c>
      <c r="N139" s="46">
        <f t="shared" si="25"/>
        <v>32.512500000000003</v>
      </c>
      <c r="O139" s="25">
        <f t="shared" si="28"/>
        <v>27255756.696277045</v>
      </c>
      <c r="P139" s="65">
        <f t="shared" si="22"/>
        <v>25877550.871812552</v>
      </c>
      <c r="Q139" s="25"/>
      <c r="R139" s="38"/>
      <c r="S139">
        <f t="shared" si="27"/>
        <v>0.75</v>
      </c>
    </row>
    <row r="140" spans="1:21">
      <c r="A140" s="2">
        <v>44713</v>
      </c>
      <c r="B140">
        <f t="shared" si="19"/>
        <v>2022</v>
      </c>
      <c r="C140">
        <f t="shared" si="20"/>
        <v>6</v>
      </c>
      <c r="D140" s="69"/>
      <c r="E140" s="69">
        <f t="shared" si="26"/>
        <v>1378205.8244644934</v>
      </c>
      <c r="F140" s="69"/>
      <c r="G140" s="66">
        <v>8.7399999999999984</v>
      </c>
      <c r="H140" s="66">
        <v>118.63000000000002</v>
      </c>
      <c r="I140" s="25">
        <f t="shared" si="13"/>
        <v>30</v>
      </c>
      <c r="J140" s="25">
        <f t="shared" si="21"/>
        <v>0</v>
      </c>
      <c r="K140" s="25">
        <f t="shared" si="23"/>
        <v>0</v>
      </c>
      <c r="L140" s="67">
        <v>39198</v>
      </c>
      <c r="M140" s="25">
        <f t="shared" si="24"/>
        <v>6.5549999999999988</v>
      </c>
      <c r="N140" s="46">
        <f t="shared" si="25"/>
        <v>88.972500000000025</v>
      </c>
      <c r="O140" s="25">
        <f t="shared" si="28"/>
        <v>33249688.049013563</v>
      </c>
      <c r="P140" s="65">
        <f t="shared" si="22"/>
        <v>31871482.22454907</v>
      </c>
      <c r="Q140" s="25"/>
      <c r="R140" s="38"/>
      <c r="S140">
        <f t="shared" si="27"/>
        <v>0.75</v>
      </c>
    </row>
    <row r="141" spans="1:21">
      <c r="A141" s="2">
        <v>44743</v>
      </c>
      <c r="B141">
        <f t="shared" si="19"/>
        <v>2022</v>
      </c>
      <c r="C141">
        <f t="shared" si="20"/>
        <v>7</v>
      </c>
      <c r="D141" s="69"/>
      <c r="E141" s="69">
        <f t="shared" si="26"/>
        <v>1378205.8244644934</v>
      </c>
      <c r="F141" s="69"/>
      <c r="G141" s="66">
        <v>0</v>
      </c>
      <c r="H141" s="66">
        <v>207.41000000000003</v>
      </c>
      <c r="I141" s="25">
        <f t="shared" si="13"/>
        <v>31</v>
      </c>
      <c r="J141" s="25">
        <f t="shared" si="21"/>
        <v>0</v>
      </c>
      <c r="K141" s="25">
        <f t="shared" si="23"/>
        <v>0</v>
      </c>
      <c r="L141" s="67">
        <v>39260.5</v>
      </c>
      <c r="M141" s="25">
        <f t="shared" si="24"/>
        <v>0</v>
      </c>
      <c r="N141" s="46">
        <f t="shared" si="25"/>
        <v>155.5575</v>
      </c>
      <c r="O141" s="25">
        <f t="shared" si="28"/>
        <v>38621688.681186244</v>
      </c>
      <c r="P141" s="65">
        <f t="shared" si="22"/>
        <v>37243482.856721751</v>
      </c>
      <c r="Q141" s="25"/>
      <c r="R141" s="38"/>
      <c r="S141">
        <f t="shared" si="27"/>
        <v>0.75</v>
      </c>
    </row>
    <row r="142" spans="1:21">
      <c r="A142" s="2">
        <v>44774</v>
      </c>
      <c r="B142">
        <f t="shared" si="19"/>
        <v>2022</v>
      </c>
      <c r="C142">
        <f t="shared" si="20"/>
        <v>8</v>
      </c>
      <c r="D142" s="69"/>
      <c r="E142" s="69">
        <f t="shared" si="26"/>
        <v>1378205.8244644934</v>
      </c>
      <c r="F142" s="69"/>
      <c r="G142" s="66">
        <v>0.29000000000000004</v>
      </c>
      <c r="H142" s="66">
        <v>180.75000000000006</v>
      </c>
      <c r="I142" s="25">
        <f t="shared" si="13"/>
        <v>31</v>
      </c>
      <c r="J142" s="25">
        <f t="shared" si="21"/>
        <v>0</v>
      </c>
      <c r="K142" s="25">
        <f t="shared" si="23"/>
        <v>0</v>
      </c>
      <c r="L142" s="67">
        <v>39323</v>
      </c>
      <c r="M142" s="25">
        <f t="shared" si="24"/>
        <v>0.21750000000000003</v>
      </c>
      <c r="N142" s="46">
        <f t="shared" si="25"/>
        <v>135.56250000000006</v>
      </c>
      <c r="O142" s="25">
        <f t="shared" si="28"/>
        <v>37280104.016607225</v>
      </c>
      <c r="P142" s="65">
        <f t="shared" si="22"/>
        <v>35901898.192142732</v>
      </c>
      <c r="Q142" s="25"/>
      <c r="R142" s="38"/>
      <c r="S142">
        <f t="shared" si="27"/>
        <v>0.75</v>
      </c>
    </row>
    <row r="143" spans="1:21">
      <c r="A143" s="2">
        <v>44805</v>
      </c>
      <c r="B143">
        <f t="shared" si="19"/>
        <v>2022</v>
      </c>
      <c r="C143">
        <f t="shared" si="20"/>
        <v>9</v>
      </c>
      <c r="D143" s="69"/>
      <c r="E143" s="69">
        <f t="shared" si="26"/>
        <v>1378205.8244644934</v>
      </c>
      <c r="F143" s="69"/>
      <c r="G143" s="66">
        <v>27</v>
      </c>
      <c r="H143" s="66">
        <v>80.61</v>
      </c>
      <c r="I143" s="25">
        <f t="shared" si="13"/>
        <v>30</v>
      </c>
      <c r="J143" s="25">
        <f t="shared" si="21"/>
        <v>1</v>
      </c>
      <c r="K143" s="25">
        <f t="shared" si="23"/>
        <v>1</v>
      </c>
      <c r="L143" s="67">
        <v>39385.5</v>
      </c>
      <c r="M143" s="25">
        <f t="shared" si="24"/>
        <v>20.25</v>
      </c>
      <c r="N143" s="46">
        <f t="shared" si="25"/>
        <v>60.457499999999996</v>
      </c>
      <c r="O143" s="25">
        <f t="shared" si="28"/>
        <v>29789429.916935526</v>
      </c>
      <c r="P143" s="65">
        <f t="shared" si="22"/>
        <v>28411224.092471033</v>
      </c>
      <c r="Q143" s="25"/>
      <c r="R143" s="38"/>
      <c r="S143">
        <f t="shared" si="27"/>
        <v>0.75</v>
      </c>
    </row>
    <row r="144" spans="1:21">
      <c r="A144" s="2">
        <v>44835</v>
      </c>
      <c r="B144">
        <f t="shared" si="19"/>
        <v>2022</v>
      </c>
      <c r="C144">
        <f t="shared" si="20"/>
        <v>10</v>
      </c>
      <c r="D144" s="69"/>
      <c r="E144" s="69">
        <f t="shared" si="26"/>
        <v>1378205.8244644934</v>
      </c>
      <c r="F144" s="69"/>
      <c r="G144" s="66">
        <v>167.57</v>
      </c>
      <c r="H144" s="66">
        <v>9.9699999999999989</v>
      </c>
      <c r="I144" s="25">
        <f t="shared" si="13"/>
        <v>31</v>
      </c>
      <c r="J144" s="25">
        <f t="shared" si="21"/>
        <v>1</v>
      </c>
      <c r="K144" s="25">
        <f t="shared" si="23"/>
        <v>0</v>
      </c>
      <c r="L144" s="67">
        <v>39448</v>
      </c>
      <c r="M144" s="25">
        <f t="shared" si="24"/>
        <v>125.67749999999999</v>
      </c>
      <c r="N144" s="46">
        <f t="shared" si="25"/>
        <v>7.4774999999999991</v>
      </c>
      <c r="O144" s="25">
        <f t="shared" si="28"/>
        <v>26309475.032278053</v>
      </c>
      <c r="P144" s="65">
        <f>O144-E144</f>
        <v>24931269.207813561</v>
      </c>
      <c r="Q144" s="25"/>
      <c r="R144" s="38"/>
      <c r="S144">
        <f t="shared" si="27"/>
        <v>0.75</v>
      </c>
      <c r="T144" s="75"/>
      <c r="U144" s="62"/>
    </row>
    <row r="145" spans="1:21">
      <c r="A145" s="2">
        <v>44866</v>
      </c>
      <c r="B145">
        <f t="shared" si="19"/>
        <v>2022</v>
      </c>
      <c r="C145">
        <f t="shared" si="20"/>
        <v>11</v>
      </c>
      <c r="D145" s="69"/>
      <c r="E145" s="69">
        <f t="shared" si="26"/>
        <v>1378205.8244644934</v>
      </c>
      <c r="F145" s="69"/>
      <c r="G145" s="66">
        <v>366.25</v>
      </c>
      <c r="H145" s="66">
        <v>1.0000000000000142E-2</v>
      </c>
      <c r="I145" s="25">
        <f t="shared" si="13"/>
        <v>30</v>
      </c>
      <c r="J145" s="25">
        <f t="shared" si="21"/>
        <v>1</v>
      </c>
      <c r="K145" s="25">
        <f t="shared" si="23"/>
        <v>0</v>
      </c>
      <c r="L145" s="67">
        <v>39510.5</v>
      </c>
      <c r="M145" s="25">
        <f t="shared" si="24"/>
        <v>274.6875</v>
      </c>
      <c r="N145" s="46">
        <f t="shared" si="25"/>
        <v>7.5000000000001073E-3</v>
      </c>
      <c r="O145" s="25">
        <f t="shared" si="28"/>
        <v>26589369.579140723</v>
      </c>
      <c r="P145" s="65">
        <f t="shared" si="22"/>
        <v>25211163.75467623</v>
      </c>
      <c r="Q145" s="25"/>
      <c r="R145" s="38"/>
      <c r="S145">
        <f t="shared" si="27"/>
        <v>0.75</v>
      </c>
      <c r="T145" s="75"/>
      <c r="U145" s="62"/>
    </row>
    <row r="146" spans="1:21">
      <c r="A146" s="2">
        <v>44896</v>
      </c>
      <c r="B146">
        <f t="shared" si="19"/>
        <v>2022</v>
      </c>
      <c r="C146">
        <f t="shared" si="20"/>
        <v>12</v>
      </c>
      <c r="D146" s="69"/>
      <c r="E146" s="69">
        <f t="shared" si="26"/>
        <v>1378205.8244644934</v>
      </c>
      <c r="F146" s="69"/>
      <c r="G146" s="66">
        <v>513.3599999999999</v>
      </c>
      <c r="H146" s="66">
        <v>0</v>
      </c>
      <c r="I146" s="25">
        <f t="shared" si="13"/>
        <v>31</v>
      </c>
      <c r="J146" s="25">
        <f t="shared" si="21"/>
        <v>0</v>
      </c>
      <c r="K146" s="25">
        <f t="shared" si="23"/>
        <v>0</v>
      </c>
      <c r="L146" s="67">
        <v>39573</v>
      </c>
      <c r="M146" s="25">
        <f t="shared" si="24"/>
        <v>385.01999999999992</v>
      </c>
      <c r="N146" s="46">
        <f t="shared" si="25"/>
        <v>0</v>
      </c>
      <c r="O146" s="25">
        <f t="shared" si="28"/>
        <v>31960934.99388472</v>
      </c>
      <c r="P146" s="65">
        <f t="shared" si="22"/>
        <v>30582729.169420227</v>
      </c>
      <c r="Q146" s="25"/>
      <c r="R146" s="38"/>
      <c r="S146">
        <f t="shared" si="27"/>
        <v>0.75</v>
      </c>
      <c r="T146" s="75"/>
      <c r="U146" s="62"/>
    </row>
    <row r="147" spans="1:21" ht="12.75" customHeight="1">
      <c r="A147" s="2">
        <v>44927</v>
      </c>
      <c r="B147">
        <f t="shared" si="19"/>
        <v>2023</v>
      </c>
      <c r="C147">
        <f t="shared" si="20"/>
        <v>1</v>
      </c>
      <c r="D147" s="69"/>
      <c r="E147" s="69">
        <v>1371685.3096250817</v>
      </c>
      <c r="G147" s="66">
        <f t="shared" ref="G147:H158" si="29">G135</f>
        <v>625.5</v>
      </c>
      <c r="H147" s="66">
        <f t="shared" si="29"/>
        <v>0</v>
      </c>
      <c r="I147" s="25">
        <f t="shared" si="13"/>
        <v>31</v>
      </c>
      <c r="J147" s="25">
        <f t="shared" si="21"/>
        <v>0</v>
      </c>
      <c r="K147" s="25">
        <f t="shared" si="23"/>
        <v>0</v>
      </c>
      <c r="L147" s="67">
        <v>39652.166666666664</v>
      </c>
      <c r="M147" s="25">
        <f t="shared" si="24"/>
        <v>312.75</v>
      </c>
      <c r="N147" s="46">
        <f t="shared" si="25"/>
        <v>0</v>
      </c>
      <c r="O147" s="25">
        <f t="shared" si="28"/>
        <v>32875852.315469097</v>
      </c>
      <c r="P147" s="65">
        <f t="shared" si="22"/>
        <v>31504167.005844016</v>
      </c>
      <c r="Q147" s="25"/>
      <c r="R147" s="38"/>
      <c r="S147">
        <v>0.5</v>
      </c>
      <c r="T147" s="23"/>
      <c r="U147" s="30"/>
    </row>
    <row r="148" spans="1:21">
      <c r="A148" s="2">
        <v>44958</v>
      </c>
      <c r="B148">
        <f t="shared" si="19"/>
        <v>2023</v>
      </c>
      <c r="C148">
        <f t="shared" si="20"/>
        <v>2</v>
      </c>
      <c r="D148" s="69"/>
      <c r="E148" s="69">
        <f>E147</f>
        <v>1371685.3096250817</v>
      </c>
      <c r="G148" s="66">
        <f t="shared" si="29"/>
        <v>573.20999999999992</v>
      </c>
      <c r="H148" s="66">
        <f t="shared" si="29"/>
        <v>0</v>
      </c>
      <c r="I148" s="25">
        <f t="shared" si="13"/>
        <v>28</v>
      </c>
      <c r="J148" s="25">
        <f t="shared" si="21"/>
        <v>0</v>
      </c>
      <c r="K148" s="25">
        <f t="shared" si="23"/>
        <v>0</v>
      </c>
      <c r="L148" s="67">
        <v>39731.333333333328</v>
      </c>
      <c r="M148" s="25">
        <f t="shared" si="24"/>
        <v>286.60499999999996</v>
      </c>
      <c r="N148" s="46">
        <f t="shared" si="25"/>
        <v>0</v>
      </c>
      <c r="O148" s="25">
        <f t="shared" si="28"/>
        <v>30240775.984003138</v>
      </c>
      <c r="P148" s="65">
        <f t="shared" si="22"/>
        <v>28869090.674378056</v>
      </c>
      <c r="Q148" s="25"/>
      <c r="R148" s="38"/>
      <c r="S148">
        <f t="shared" si="27"/>
        <v>0.5</v>
      </c>
      <c r="T148" s="23"/>
      <c r="U148" s="30"/>
    </row>
    <row r="149" spans="1:21">
      <c r="A149" s="2">
        <v>44986</v>
      </c>
      <c r="B149">
        <f t="shared" si="19"/>
        <v>2023</v>
      </c>
      <c r="C149">
        <f t="shared" si="20"/>
        <v>3</v>
      </c>
      <c r="D149" s="69"/>
      <c r="E149" s="69">
        <f t="shared" ref="E149:E158" si="30">E148</f>
        <v>1371685.3096250817</v>
      </c>
      <c r="G149" s="66">
        <f t="shared" si="29"/>
        <v>471.05</v>
      </c>
      <c r="H149" s="66">
        <f t="shared" si="29"/>
        <v>0.3</v>
      </c>
      <c r="I149" s="25">
        <f t="shared" si="13"/>
        <v>31</v>
      </c>
      <c r="J149" s="25">
        <f t="shared" si="21"/>
        <v>1</v>
      </c>
      <c r="K149" s="25">
        <f t="shared" si="23"/>
        <v>0</v>
      </c>
      <c r="L149" s="67">
        <v>39810.499999999993</v>
      </c>
      <c r="M149" s="25">
        <f t="shared" si="24"/>
        <v>235.52500000000001</v>
      </c>
      <c r="N149" s="46">
        <f t="shared" si="25"/>
        <v>0.15</v>
      </c>
      <c r="O149" s="25">
        <f t="shared" si="28"/>
        <v>28390486.869109649</v>
      </c>
      <c r="P149" s="65">
        <f t="shared" si="22"/>
        <v>27018801.559484567</v>
      </c>
      <c r="Q149" s="25"/>
      <c r="R149" s="38"/>
      <c r="S149">
        <f t="shared" si="27"/>
        <v>0.5</v>
      </c>
      <c r="T149" s="23"/>
      <c r="U149" s="30"/>
    </row>
    <row r="150" spans="1:21">
      <c r="A150" s="2">
        <v>45017</v>
      </c>
      <c r="B150">
        <f t="shared" si="19"/>
        <v>2023</v>
      </c>
      <c r="C150">
        <f t="shared" si="20"/>
        <v>4</v>
      </c>
      <c r="D150" s="69"/>
      <c r="E150" s="69">
        <f t="shared" si="30"/>
        <v>1371685.3096250817</v>
      </c>
      <c r="G150" s="66">
        <f t="shared" si="29"/>
        <v>285.58000000000004</v>
      </c>
      <c r="H150" s="66">
        <f t="shared" si="29"/>
        <v>0.38999999999999985</v>
      </c>
      <c r="I150" s="25">
        <f t="shared" si="13"/>
        <v>30</v>
      </c>
      <c r="J150" s="25">
        <f t="shared" si="21"/>
        <v>1</v>
      </c>
      <c r="K150" s="25">
        <f t="shared" si="23"/>
        <v>0</v>
      </c>
      <c r="L150" s="67">
        <v>39889.666666666657</v>
      </c>
      <c r="M150" s="25">
        <f t="shared" si="24"/>
        <v>142.79000000000002</v>
      </c>
      <c r="N150" s="46">
        <f t="shared" si="25"/>
        <v>0.19499999999999992</v>
      </c>
      <c r="O150" s="25">
        <f t="shared" si="28"/>
        <v>26271979.661197305</v>
      </c>
      <c r="P150" s="65">
        <f t="shared" si="22"/>
        <v>24900294.351572223</v>
      </c>
      <c r="Q150" s="25"/>
      <c r="R150" s="38"/>
      <c r="S150">
        <f t="shared" si="27"/>
        <v>0.5</v>
      </c>
      <c r="T150" s="23"/>
      <c r="U150" s="30"/>
    </row>
    <row r="151" spans="1:21">
      <c r="A151" s="2">
        <v>45047</v>
      </c>
      <c r="B151">
        <f t="shared" si="19"/>
        <v>2023</v>
      </c>
      <c r="C151">
        <f t="shared" si="20"/>
        <v>5</v>
      </c>
      <c r="D151" s="69"/>
      <c r="E151" s="69">
        <f t="shared" si="30"/>
        <v>1371685.3096250817</v>
      </c>
      <c r="G151" s="66">
        <f t="shared" si="29"/>
        <v>93.759999999999991</v>
      </c>
      <c r="H151" s="66">
        <f t="shared" si="29"/>
        <v>43.35</v>
      </c>
      <c r="I151" s="25">
        <f t="shared" si="13"/>
        <v>31</v>
      </c>
      <c r="J151" s="25">
        <f t="shared" si="21"/>
        <v>1</v>
      </c>
      <c r="K151" s="25">
        <f t="shared" si="23"/>
        <v>0</v>
      </c>
      <c r="L151" s="67">
        <v>39968.833333333321</v>
      </c>
      <c r="M151" s="25">
        <f t="shared" si="24"/>
        <v>46.879999999999995</v>
      </c>
      <c r="N151" s="46">
        <f t="shared" si="25"/>
        <v>21.675000000000001</v>
      </c>
      <c r="O151" s="25">
        <f t="shared" si="28"/>
        <v>27869054.627381917</v>
      </c>
      <c r="P151" s="65">
        <f t="shared" si="22"/>
        <v>26497369.317756835</v>
      </c>
      <c r="Q151" s="25"/>
      <c r="R151" s="38"/>
      <c r="S151">
        <f t="shared" si="27"/>
        <v>0.5</v>
      </c>
      <c r="T151" s="23"/>
      <c r="U151" s="30"/>
    </row>
    <row r="152" spans="1:21">
      <c r="A152" s="2">
        <v>45078</v>
      </c>
      <c r="B152">
        <f t="shared" si="19"/>
        <v>2023</v>
      </c>
      <c r="C152">
        <f t="shared" si="20"/>
        <v>6</v>
      </c>
      <c r="D152" s="69"/>
      <c r="E152" s="69">
        <f t="shared" si="30"/>
        <v>1371685.3096250817</v>
      </c>
      <c r="G152" s="66">
        <f t="shared" si="29"/>
        <v>8.7399999999999984</v>
      </c>
      <c r="H152" s="66">
        <f t="shared" si="29"/>
        <v>118.63000000000002</v>
      </c>
      <c r="I152" s="25">
        <f t="shared" si="13"/>
        <v>30</v>
      </c>
      <c r="J152" s="25">
        <f t="shared" si="21"/>
        <v>0</v>
      </c>
      <c r="K152" s="25">
        <f t="shared" si="23"/>
        <v>0</v>
      </c>
      <c r="L152" s="67">
        <v>40047.999999999985</v>
      </c>
      <c r="M152" s="25">
        <f t="shared" si="24"/>
        <v>4.3699999999999992</v>
      </c>
      <c r="N152" s="46">
        <f t="shared" si="25"/>
        <v>59.315000000000012</v>
      </c>
      <c r="O152" s="25">
        <f t="shared" si="28"/>
        <v>33875251.938740537</v>
      </c>
      <c r="P152" s="65">
        <f t="shared" si="22"/>
        <v>32503566.629115455</v>
      </c>
      <c r="Q152" s="25"/>
      <c r="R152" s="38"/>
      <c r="S152">
        <f t="shared" si="27"/>
        <v>0.5</v>
      </c>
      <c r="T152" s="23"/>
      <c r="U152" s="30"/>
    </row>
    <row r="153" spans="1:21">
      <c r="A153" s="2">
        <v>45108</v>
      </c>
      <c r="B153">
        <f t="shared" si="19"/>
        <v>2023</v>
      </c>
      <c r="C153">
        <f t="shared" si="20"/>
        <v>7</v>
      </c>
      <c r="D153" s="69"/>
      <c r="E153" s="69">
        <f t="shared" si="30"/>
        <v>1371685.3096250817</v>
      </c>
      <c r="G153" s="66">
        <f t="shared" si="29"/>
        <v>0</v>
      </c>
      <c r="H153" s="66">
        <f t="shared" si="29"/>
        <v>207.41000000000003</v>
      </c>
      <c r="I153" s="25">
        <f t="shared" si="13"/>
        <v>31</v>
      </c>
      <c r="J153" s="25">
        <f t="shared" si="21"/>
        <v>0</v>
      </c>
      <c r="K153" s="25">
        <f t="shared" si="23"/>
        <v>0</v>
      </c>
      <c r="L153" s="67">
        <v>40127.16666666665</v>
      </c>
      <c r="M153" s="25">
        <f t="shared" si="24"/>
        <v>0</v>
      </c>
      <c r="N153" s="46">
        <f t="shared" si="25"/>
        <v>103.70500000000001</v>
      </c>
      <c r="O153" s="25">
        <f t="shared" si="28"/>
        <v>39259518.529535316</v>
      </c>
      <c r="P153" s="65">
        <f t="shared" si="22"/>
        <v>37887833.219910234</v>
      </c>
      <c r="Q153" s="25"/>
      <c r="R153" s="38"/>
      <c r="S153">
        <f t="shared" si="27"/>
        <v>0.5</v>
      </c>
      <c r="T153" s="23"/>
      <c r="U153" s="30"/>
    </row>
    <row r="154" spans="1:21">
      <c r="A154" s="2">
        <v>45139</v>
      </c>
      <c r="B154">
        <f t="shared" si="19"/>
        <v>2023</v>
      </c>
      <c r="C154">
        <f t="shared" si="20"/>
        <v>8</v>
      </c>
      <c r="D154" s="69"/>
      <c r="E154" s="69">
        <f t="shared" si="30"/>
        <v>1371685.3096250817</v>
      </c>
      <c r="G154" s="66">
        <f t="shared" si="29"/>
        <v>0.29000000000000004</v>
      </c>
      <c r="H154" s="66">
        <f t="shared" si="29"/>
        <v>180.75000000000006</v>
      </c>
      <c r="I154" s="25">
        <f t="shared" si="13"/>
        <v>31</v>
      </c>
      <c r="J154" s="25">
        <f t="shared" si="21"/>
        <v>0</v>
      </c>
      <c r="K154" s="25">
        <f t="shared" si="23"/>
        <v>0</v>
      </c>
      <c r="L154" s="67">
        <v>40206.333333333314</v>
      </c>
      <c r="M154" s="25">
        <f t="shared" si="24"/>
        <v>0.14500000000000002</v>
      </c>
      <c r="N154" s="46">
        <f t="shared" si="25"/>
        <v>90.375000000000028</v>
      </c>
      <c r="O154" s="25">
        <f t="shared" si="28"/>
        <v>37930199.823578387</v>
      </c>
      <c r="P154" s="65">
        <f t="shared" si="22"/>
        <v>36558514.513953306</v>
      </c>
      <c r="Q154" s="25"/>
      <c r="R154" s="38"/>
      <c r="S154">
        <f t="shared" si="27"/>
        <v>0.5</v>
      </c>
      <c r="T154" s="23"/>
      <c r="U154" s="30"/>
    </row>
    <row r="155" spans="1:21">
      <c r="A155" s="2">
        <v>45170</v>
      </c>
      <c r="B155">
        <f t="shared" si="19"/>
        <v>2023</v>
      </c>
      <c r="C155">
        <f t="shared" si="20"/>
        <v>9</v>
      </c>
      <c r="D155" s="69"/>
      <c r="E155" s="69">
        <f t="shared" si="30"/>
        <v>1371685.3096250817</v>
      </c>
      <c r="G155" s="66">
        <f t="shared" si="29"/>
        <v>27</v>
      </c>
      <c r="H155" s="66">
        <f t="shared" si="29"/>
        <v>80.61</v>
      </c>
      <c r="I155" s="25">
        <f t="shared" si="13"/>
        <v>30</v>
      </c>
      <c r="J155" s="25">
        <f t="shared" si="21"/>
        <v>1</v>
      </c>
      <c r="K155" s="25">
        <f t="shared" si="23"/>
        <v>1</v>
      </c>
      <c r="L155" s="67">
        <v>40285.499999999978</v>
      </c>
      <c r="M155" s="25">
        <f t="shared" si="24"/>
        <v>13.5</v>
      </c>
      <c r="N155" s="46">
        <f t="shared" si="25"/>
        <v>40.305</v>
      </c>
      <c r="O155" s="25">
        <f t="shared" si="28"/>
        <v>30451791.682528783</v>
      </c>
      <c r="P155" s="65">
        <f t="shared" si="22"/>
        <v>29080106.372903701</v>
      </c>
      <c r="Q155" s="25"/>
      <c r="R155" s="38"/>
      <c r="S155">
        <f t="shared" si="27"/>
        <v>0.5</v>
      </c>
      <c r="T155" s="23"/>
      <c r="U155" s="30"/>
    </row>
    <row r="156" spans="1:21">
      <c r="A156" s="2">
        <v>45200</v>
      </c>
      <c r="B156">
        <f t="shared" si="19"/>
        <v>2023</v>
      </c>
      <c r="C156">
        <f t="shared" si="20"/>
        <v>10</v>
      </c>
      <c r="D156" s="69"/>
      <c r="E156" s="69">
        <f t="shared" si="30"/>
        <v>1371685.3096250817</v>
      </c>
      <c r="G156" s="66">
        <f t="shared" si="29"/>
        <v>167.57</v>
      </c>
      <c r="H156" s="66">
        <f t="shared" si="29"/>
        <v>9.9699999999999989</v>
      </c>
      <c r="I156" s="25">
        <f t="shared" si="13"/>
        <v>31</v>
      </c>
      <c r="J156" s="25">
        <f t="shared" si="21"/>
        <v>1</v>
      </c>
      <c r="K156" s="25">
        <f t="shared" si="23"/>
        <v>0</v>
      </c>
      <c r="L156" s="67">
        <v>40364.666666666642</v>
      </c>
      <c r="M156" s="25">
        <f t="shared" si="24"/>
        <v>83.784999999999997</v>
      </c>
      <c r="N156" s="46">
        <f t="shared" si="25"/>
        <v>4.9849999999999994</v>
      </c>
      <c r="O156" s="25">
        <f t="shared" si="28"/>
        <v>26984102.756493408</v>
      </c>
      <c r="P156" s="65">
        <f t="shared" si="22"/>
        <v>25612417.446868327</v>
      </c>
      <c r="Q156" s="25"/>
      <c r="R156" s="38"/>
      <c r="S156">
        <f t="shared" si="27"/>
        <v>0.5</v>
      </c>
      <c r="T156" s="23"/>
      <c r="U156" s="30"/>
    </row>
    <row r="157" spans="1:21">
      <c r="A157" s="2">
        <v>45231</v>
      </c>
      <c r="B157">
        <f t="shared" si="19"/>
        <v>2023</v>
      </c>
      <c r="C157">
        <f t="shared" si="20"/>
        <v>11</v>
      </c>
      <c r="D157" s="69"/>
      <c r="E157" s="69">
        <f t="shared" si="30"/>
        <v>1371685.3096250817</v>
      </c>
      <c r="G157" s="66">
        <f t="shared" si="29"/>
        <v>366.25</v>
      </c>
      <c r="H157" s="66">
        <f t="shared" si="29"/>
        <v>1.0000000000000142E-2</v>
      </c>
      <c r="I157" s="25">
        <f t="shared" si="13"/>
        <v>30</v>
      </c>
      <c r="J157" s="25">
        <f t="shared" si="21"/>
        <v>1</v>
      </c>
      <c r="K157" s="25">
        <f t="shared" si="23"/>
        <v>0</v>
      </c>
      <c r="L157" s="67">
        <v>40443.833333333307</v>
      </c>
      <c r="M157" s="25">
        <f t="shared" si="24"/>
        <v>183.125</v>
      </c>
      <c r="N157" s="46">
        <f t="shared" si="25"/>
        <v>5.0000000000000712E-3</v>
      </c>
      <c r="O157" s="25">
        <f t="shared" si="28"/>
        <v>27276263.261978172</v>
      </c>
      <c r="P157" s="65">
        <f t="shared" si="22"/>
        <v>25904577.95235309</v>
      </c>
      <c r="Q157" s="25"/>
      <c r="R157" s="38"/>
      <c r="S157">
        <f t="shared" si="27"/>
        <v>0.5</v>
      </c>
      <c r="T157" s="23"/>
    </row>
    <row r="158" spans="1:21">
      <c r="A158" s="2">
        <v>45261</v>
      </c>
      <c r="B158">
        <f t="shared" si="19"/>
        <v>2023</v>
      </c>
      <c r="C158">
        <f t="shared" si="20"/>
        <v>12</v>
      </c>
      <c r="D158" s="69"/>
      <c r="E158" s="69">
        <f t="shared" si="30"/>
        <v>1371685.3096250817</v>
      </c>
      <c r="G158" s="66">
        <f t="shared" si="29"/>
        <v>513.3599999999999</v>
      </c>
      <c r="H158" s="66">
        <f t="shared" si="29"/>
        <v>0</v>
      </c>
      <c r="I158" s="25">
        <f t="shared" si="13"/>
        <v>31</v>
      </c>
      <c r="J158" s="25">
        <f t="shared" si="21"/>
        <v>0</v>
      </c>
      <c r="K158" s="25">
        <f t="shared" si="23"/>
        <v>0</v>
      </c>
      <c r="L158" s="67">
        <v>40522.999999999971</v>
      </c>
      <c r="M158" s="25">
        <f t="shared" si="24"/>
        <v>256.67999999999995</v>
      </c>
      <c r="N158" s="46">
        <f t="shared" si="25"/>
        <v>0</v>
      </c>
      <c r="O158" s="25">
        <f t="shared" si="28"/>
        <v>32660094.635344263</v>
      </c>
      <c r="P158" s="65">
        <f t="shared" si="22"/>
        <v>31288409.325719181</v>
      </c>
      <c r="Q158" s="25"/>
      <c r="R158" s="38"/>
      <c r="S158">
        <f t="shared" si="27"/>
        <v>0.5</v>
      </c>
      <c r="T158" s="23"/>
    </row>
    <row r="159" spans="1:21">
      <c r="A159" s="2"/>
      <c r="B159" s="2"/>
      <c r="C159" s="2"/>
      <c r="D159" s="2"/>
      <c r="E159" s="2"/>
      <c r="G159" s="40">
        <f>SUM(G3:G158)</f>
        <v>40731.520000000011</v>
      </c>
      <c r="H159" s="40">
        <f>SUM(H3:H158)</f>
        <v>8351.24</v>
      </c>
      <c r="I159" s="25"/>
      <c r="J159" s="25"/>
      <c r="K159" s="25"/>
      <c r="L159" s="44"/>
      <c r="M159" s="25"/>
      <c r="N159" s="25"/>
      <c r="O159" s="25"/>
      <c r="P159" s="38"/>
      <c r="Q159" s="25"/>
      <c r="R159" s="38">
        <f>AVERAGE(R3:R134)</f>
        <v>4.8527682988373448E-2</v>
      </c>
    </row>
    <row r="160" spans="1:21">
      <c r="A160" s="2"/>
      <c r="B160" s="2"/>
      <c r="C160" s="2"/>
      <c r="D160" s="2"/>
      <c r="E160" s="2"/>
      <c r="G160" s="40"/>
      <c r="H160" s="40"/>
      <c r="I160" s="25"/>
      <c r="J160" s="25"/>
      <c r="K160" s="25"/>
      <c r="L160" s="44"/>
      <c r="M160" s="25"/>
      <c r="N160" s="25"/>
      <c r="O160" s="25"/>
      <c r="P160" s="38"/>
      <c r="Q160" s="25"/>
      <c r="R160" s="38"/>
    </row>
    <row r="161" spans="1:33">
      <c r="A161" s="2"/>
      <c r="B161" s="2"/>
      <c r="C161" s="2"/>
      <c r="D161" s="2"/>
      <c r="E161" s="2"/>
      <c r="G161" s="40"/>
      <c r="H161" s="40"/>
      <c r="I161" s="25"/>
      <c r="J161" s="25"/>
      <c r="K161" s="25"/>
      <c r="L161" s="44"/>
      <c r="M161" s="25"/>
      <c r="N161" s="25"/>
      <c r="O161" s="25"/>
      <c r="P161" s="38"/>
      <c r="Q161" s="25"/>
      <c r="R161" s="38"/>
    </row>
    <row r="162" spans="1:33">
      <c r="A162" s="2"/>
      <c r="B162" s="2"/>
      <c r="C162" s="2"/>
      <c r="D162" s="2"/>
      <c r="E162" s="2"/>
      <c r="G162" s="40"/>
      <c r="H162" s="40"/>
      <c r="I162" s="25"/>
      <c r="J162" s="25"/>
      <c r="K162" s="25"/>
      <c r="L162" s="44"/>
      <c r="M162" s="25"/>
      <c r="N162" s="25"/>
      <c r="O162" s="25"/>
      <c r="P162" s="38"/>
      <c r="Q162" s="25"/>
      <c r="R162" s="38"/>
    </row>
    <row r="163" spans="1:33">
      <c r="A163" s="2"/>
      <c r="B163" s="2"/>
      <c r="C163" s="2"/>
      <c r="D163" s="2"/>
      <c r="E163" s="2"/>
      <c r="G163" s="28" t="s">
        <v>74</v>
      </c>
      <c r="H163" s="93" t="s">
        <v>75</v>
      </c>
      <c r="I163" s="93"/>
      <c r="O163" s="20"/>
    </row>
    <row r="164" spans="1:33">
      <c r="A164" s="2"/>
      <c r="B164" s="2"/>
      <c r="C164" s="2"/>
      <c r="D164" s="2"/>
      <c r="E164" s="2"/>
    </row>
    <row r="165" spans="1:33">
      <c r="A165" s="2"/>
      <c r="B165" s="2"/>
      <c r="C165" s="2"/>
      <c r="D165" s="68" t="s">
        <v>76</v>
      </c>
      <c r="E165" s="68" t="s">
        <v>58</v>
      </c>
      <c r="F165" s="29" t="s">
        <v>59</v>
      </c>
      <c r="O165" s="61" t="s">
        <v>77</v>
      </c>
      <c r="P165" s="61" t="s">
        <v>58</v>
      </c>
      <c r="Q165" s="61" t="s">
        <v>78</v>
      </c>
    </row>
    <row r="166" spans="1:33">
      <c r="A166" s="10">
        <v>2011</v>
      </c>
      <c r="B166" s="10"/>
      <c r="C166" s="10"/>
      <c r="D166" s="30">
        <f>SUMIF(B:B,A166,D:D)</f>
        <v>268725506.51999998</v>
      </c>
      <c r="E166" s="30">
        <f>SUMIF(B:B,A166,E:E)</f>
        <v>278492.94390389865</v>
      </c>
      <c r="F166" s="5">
        <f>SUMIF(B:B,A166,F:F)</f>
        <v>269003999.46390384</v>
      </c>
      <c r="O166" s="5">
        <f t="shared" ref="O166:O177" si="31">SUMIF(B:B,A166,O:O)</f>
        <v>260355293.35433537</v>
      </c>
      <c r="P166" s="42">
        <v>278492.9439038987</v>
      </c>
      <c r="Q166" s="42">
        <f t="shared" ref="Q166:Q178" si="32">SUMIF(B:B,A166,P:P)</f>
        <v>260076800.4104315</v>
      </c>
      <c r="R166" s="4"/>
    </row>
    <row r="167" spans="1:33">
      <c r="A167" s="10">
        <f>A166+1</f>
        <v>2012</v>
      </c>
      <c r="B167" s="10"/>
      <c r="C167" s="10"/>
      <c r="D167" s="30">
        <f t="shared" ref="D167:D175" si="33">SUMIF(B:B,A167,D:D)</f>
        <v>281220954.64999998</v>
      </c>
      <c r="E167" s="30">
        <f t="shared" ref="E167:E176" si="34">SUMIF(B:B,A167,E:E)</f>
        <v>721831.67732693173</v>
      </c>
      <c r="F167" s="5">
        <f t="shared" ref="F167:F176" si="35">SUMIF(B:B,A167,F:F)</f>
        <v>281942786.32732689</v>
      </c>
      <c r="O167" s="5">
        <f t="shared" si="31"/>
        <v>275817104.51621538</v>
      </c>
      <c r="P167" s="42">
        <v>721831.67732693185</v>
      </c>
      <c r="Q167" s="42">
        <f t="shared" si="32"/>
        <v>275095272.83888847</v>
      </c>
      <c r="R167" s="4"/>
    </row>
    <row r="168" spans="1:33">
      <c r="A168" s="10">
        <f t="shared" ref="A168:A178" si="36">A167+1</f>
        <v>2013</v>
      </c>
      <c r="B168" s="10"/>
      <c r="C168" s="10"/>
      <c r="D168" s="30">
        <f t="shared" si="33"/>
        <v>287291133.52999997</v>
      </c>
      <c r="E168" s="30">
        <f t="shared" si="34"/>
        <v>1069944.6183750697</v>
      </c>
      <c r="F168" s="5">
        <f t="shared" si="35"/>
        <v>288361078.14837503</v>
      </c>
      <c r="O168" s="5">
        <f t="shared" si="31"/>
        <v>287439813.3227635</v>
      </c>
      <c r="P168" s="42">
        <v>1069944.6183750697</v>
      </c>
      <c r="Q168" s="42">
        <f t="shared" si="32"/>
        <v>286369868.70438844</v>
      </c>
      <c r="R168" s="4"/>
    </row>
    <row r="169" spans="1:33">
      <c r="A169" s="10">
        <f t="shared" si="36"/>
        <v>2014</v>
      </c>
      <c r="D169" s="30">
        <f t="shared" si="33"/>
        <v>290591982.63</v>
      </c>
      <c r="E169" s="30">
        <f t="shared" si="34"/>
        <v>2046448.2872741346</v>
      </c>
      <c r="F169" s="5">
        <f t="shared" si="35"/>
        <v>292638430.91727418</v>
      </c>
      <c r="O169" s="5">
        <f t="shared" si="31"/>
        <v>294623137.11728555</v>
      </c>
      <c r="P169" s="42">
        <v>2046448.2872741348</v>
      </c>
      <c r="Q169" s="42">
        <f t="shared" si="32"/>
        <v>292576688.83001131</v>
      </c>
      <c r="R169" s="4"/>
    </row>
    <row r="170" spans="1:33">
      <c r="A170" s="10">
        <f t="shared" si="36"/>
        <v>2015</v>
      </c>
      <c r="B170" s="10"/>
      <c r="C170" s="10"/>
      <c r="D170" s="30">
        <f t="shared" si="33"/>
        <v>295940879.87469882</v>
      </c>
      <c r="E170" s="30">
        <f t="shared" si="34"/>
        <v>3804024.9288133155</v>
      </c>
      <c r="F170" s="5">
        <f t="shared" si="35"/>
        <v>299744904.8035121</v>
      </c>
      <c r="O170" s="5">
        <f t="shared" si="31"/>
        <v>306893383.4868111</v>
      </c>
      <c r="P170" s="42">
        <v>3804024.9288133159</v>
      </c>
      <c r="Q170" s="42">
        <f t="shared" si="32"/>
        <v>303089358.55799782</v>
      </c>
      <c r="R170" s="4"/>
      <c r="AE170" s="29"/>
      <c r="AF170" s="29"/>
      <c r="AG170" s="29"/>
    </row>
    <row r="171" spans="1:33">
      <c r="A171" s="10">
        <f t="shared" si="36"/>
        <v>2016</v>
      </c>
      <c r="D171" s="30">
        <f t="shared" si="33"/>
        <v>310749015.99036139</v>
      </c>
      <c r="E171" s="30">
        <f t="shared" si="34"/>
        <v>6041275.5090756081</v>
      </c>
      <c r="F171" s="5">
        <f t="shared" si="35"/>
        <v>316790291.49943697</v>
      </c>
      <c r="O171" s="5">
        <f t="shared" si="31"/>
        <v>324684005.2641297</v>
      </c>
      <c r="P171" s="42">
        <v>6041275.5090756072</v>
      </c>
      <c r="Q171" s="42">
        <f t="shared" si="32"/>
        <v>318642729.75505412</v>
      </c>
      <c r="R171" s="4"/>
    </row>
    <row r="172" spans="1:33">
      <c r="A172" s="10">
        <f t="shared" si="36"/>
        <v>2017</v>
      </c>
      <c r="B172" s="10"/>
      <c r="C172" s="10"/>
      <c r="D172" s="30">
        <f t="shared" si="33"/>
        <v>294253405.64819276</v>
      </c>
      <c r="E172" s="30">
        <f t="shared" si="34"/>
        <v>11501759.853604494</v>
      </c>
      <c r="F172" s="5">
        <f t="shared" si="35"/>
        <v>305755165.50179738</v>
      </c>
      <c r="O172" s="5">
        <f t="shared" si="31"/>
        <v>318411213.89605361</v>
      </c>
      <c r="P172" s="42">
        <v>11501759.853604492</v>
      </c>
      <c r="Q172" s="42">
        <f t="shared" si="32"/>
        <v>306909454.04244912</v>
      </c>
      <c r="R172" s="4"/>
    </row>
    <row r="173" spans="1:33">
      <c r="A173" s="10">
        <f t="shared" si="36"/>
        <v>2018</v>
      </c>
      <c r="D173" s="30">
        <f t="shared" si="33"/>
        <v>323623192.28915668</v>
      </c>
      <c r="E173" s="30">
        <f t="shared" si="34"/>
        <v>15382195.680825928</v>
      </c>
      <c r="F173" s="5">
        <f t="shared" si="35"/>
        <v>339005387.96998256</v>
      </c>
      <c r="O173" s="5">
        <f t="shared" si="31"/>
        <v>343509689.41554099</v>
      </c>
      <c r="P173" s="42">
        <v>15382195.680825928</v>
      </c>
      <c r="Q173" s="42">
        <f t="shared" si="32"/>
        <v>328127493.73471504</v>
      </c>
      <c r="R173" s="4"/>
    </row>
    <row r="174" spans="1:33">
      <c r="A174" s="10">
        <f t="shared" si="36"/>
        <v>2019</v>
      </c>
      <c r="B174" s="10"/>
      <c r="C174" s="10"/>
      <c r="D174" s="30">
        <f t="shared" si="33"/>
        <v>316413176.16385555</v>
      </c>
      <c r="E174" s="30">
        <f t="shared" si="34"/>
        <v>16904286.956643324</v>
      </c>
      <c r="F174" s="5">
        <f t="shared" si="35"/>
        <v>333317463.12049884</v>
      </c>
      <c r="O174" s="5">
        <f t="shared" si="31"/>
        <v>343779710.08131927</v>
      </c>
      <c r="P174" s="42">
        <v>16904286.956643321</v>
      </c>
      <c r="Q174" s="42">
        <f t="shared" si="32"/>
        <v>326875423.12467581</v>
      </c>
      <c r="R174" s="4"/>
    </row>
    <row r="175" spans="1:33">
      <c r="A175" s="10">
        <f t="shared" si="36"/>
        <v>2020</v>
      </c>
      <c r="D175" s="30">
        <f t="shared" si="33"/>
        <v>353805930.95903623</v>
      </c>
      <c r="E175" s="30">
        <f t="shared" si="34"/>
        <v>16711723.878813386</v>
      </c>
      <c r="F175" s="5">
        <f t="shared" si="35"/>
        <v>370517654.83784956</v>
      </c>
      <c r="O175" s="5">
        <f t="shared" si="31"/>
        <v>356215062.52249885</v>
      </c>
      <c r="P175" s="42">
        <v>16711723.878813386</v>
      </c>
      <c r="Q175" s="42">
        <f t="shared" si="32"/>
        <v>339503338.64368546</v>
      </c>
      <c r="R175" s="4"/>
      <c r="S175" s="5"/>
    </row>
    <row r="176" spans="1:33">
      <c r="A176" s="10">
        <f t="shared" si="36"/>
        <v>2021</v>
      </c>
      <c r="B176" s="10"/>
      <c r="C176" s="10"/>
      <c r="D176" s="30">
        <f>SUMIF(B:B,A176,D:D)</f>
        <v>360408160.45301205</v>
      </c>
      <c r="E176" s="30">
        <f t="shared" si="34"/>
        <v>16576186.306711921</v>
      </c>
      <c r="F176" s="5">
        <f t="shared" si="35"/>
        <v>376984346.75972396</v>
      </c>
      <c r="O176" s="5">
        <f t="shared" si="31"/>
        <v>361776891.60531253</v>
      </c>
      <c r="P176" s="42">
        <v>16576186.30671192</v>
      </c>
      <c r="Q176" s="42">
        <f t="shared" si="32"/>
        <v>345200705.29860055</v>
      </c>
      <c r="R176" s="4"/>
      <c r="S176" s="5"/>
    </row>
    <row r="177" spans="1:33">
      <c r="A177" s="10">
        <f t="shared" si="36"/>
        <v>2022</v>
      </c>
      <c r="B177" s="10"/>
      <c r="C177" s="10"/>
      <c r="D177" s="30"/>
      <c r="E177" s="30"/>
      <c r="O177" s="5">
        <f t="shared" si="31"/>
        <v>366505009.65690374</v>
      </c>
      <c r="P177" s="42">
        <v>16538469.893573921</v>
      </c>
      <c r="Q177" s="42">
        <f t="shared" si="32"/>
        <v>349966539.7633298</v>
      </c>
      <c r="R177" s="4"/>
    </row>
    <row r="178" spans="1:33">
      <c r="A178" s="10">
        <f t="shared" si="36"/>
        <v>2023</v>
      </c>
      <c r="D178" s="30"/>
      <c r="E178" s="30"/>
      <c r="J178" s="32"/>
      <c r="K178" s="32"/>
      <c r="L178" s="41"/>
      <c r="M178" s="32"/>
      <c r="N178" s="32"/>
      <c r="O178" s="5">
        <f>SUMIF(B:B,A178,O:O)</f>
        <v>374085372.08535993</v>
      </c>
      <c r="P178" s="42">
        <v>16460223.715500981</v>
      </c>
      <c r="Q178" s="42">
        <f t="shared" si="32"/>
        <v>357625148.36985892</v>
      </c>
      <c r="R178" s="4"/>
      <c r="S178" s="60"/>
    </row>
    <row r="179" spans="1:33">
      <c r="AE179" s="29"/>
      <c r="AF179" s="29"/>
      <c r="AG179" s="29"/>
    </row>
    <row r="190" spans="1:33">
      <c r="AE190" s="29"/>
      <c r="AF190" s="29"/>
      <c r="AG190" s="29"/>
    </row>
  </sheetData>
  <mergeCells count="2">
    <mergeCell ref="H163:I163"/>
    <mergeCell ref="A1:F1"/>
  </mergeCells>
  <phoneticPr fontId="0" type="noConversion"/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13"/>
  <sheetViews>
    <sheetView tabSelected="1" zoomScaleNormal="10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R7" sqref="R7"/>
    </sheetView>
  </sheetViews>
  <sheetFormatPr defaultRowHeight="12.75"/>
  <cols>
    <col min="1" max="1" width="28.140625" bestFit="1" customWidth="1"/>
    <col min="2" max="2" width="15.7109375" style="5" customWidth="1"/>
    <col min="3" max="3" width="15" style="5" customWidth="1"/>
    <col min="4" max="4" width="14.85546875" style="5" bestFit="1" customWidth="1"/>
    <col min="5" max="5" width="15.42578125" style="5" bestFit="1" customWidth="1"/>
    <col min="6" max="6" width="14.140625" style="5" customWidth="1"/>
    <col min="7" max="7" width="20.85546875" style="5" customWidth="1"/>
    <col min="8" max="8" width="14.140625" style="5" customWidth="1"/>
    <col min="9" max="9" width="14.7109375" style="5" customWidth="1"/>
    <col min="10" max="10" width="12.5703125" style="5" customWidth="1"/>
    <col min="11" max="11" width="13.28515625" style="5" bestFit="1" customWidth="1"/>
    <col min="12" max="12" width="11.140625" style="5" bestFit="1" customWidth="1"/>
    <col min="13" max="13" width="11.7109375" style="5" bestFit="1" customWidth="1"/>
    <col min="14" max="14" width="10.7109375" style="5" bestFit="1" customWidth="1"/>
    <col min="15" max="15" width="9.140625" style="5"/>
    <col min="16" max="16" width="11.140625" style="5" bestFit="1" customWidth="1"/>
  </cols>
  <sheetData>
    <row r="1" spans="1:10">
      <c r="C1" s="95" t="s">
        <v>80</v>
      </c>
      <c r="D1" s="95"/>
      <c r="E1" s="95"/>
      <c r="F1" s="95"/>
      <c r="G1" s="95"/>
      <c r="H1" s="95"/>
      <c r="I1" s="95"/>
      <c r="J1" s="95"/>
    </row>
    <row r="2" spans="1:10" ht="42" customHeight="1">
      <c r="B2" s="33"/>
      <c r="C2" s="34" t="s">
        <v>81</v>
      </c>
      <c r="D2" s="35" t="s">
        <v>82</v>
      </c>
      <c r="E2" s="35" t="s">
        <v>83</v>
      </c>
      <c r="F2" s="35" t="s">
        <v>84</v>
      </c>
      <c r="G2" s="35" t="s">
        <v>54</v>
      </c>
      <c r="H2" s="36" t="s">
        <v>85</v>
      </c>
      <c r="I2" s="36" t="s">
        <v>55</v>
      </c>
      <c r="J2" s="36" t="s">
        <v>86</v>
      </c>
    </row>
    <row r="4" spans="1:10">
      <c r="A4" s="3"/>
    </row>
    <row r="5" spans="1:10" ht="15">
      <c r="A5" s="3"/>
      <c r="C5" s="96"/>
      <c r="D5" s="97"/>
      <c r="E5" s="97"/>
      <c r="F5" s="98"/>
      <c r="G5" s="96"/>
      <c r="H5" s="97"/>
      <c r="I5" s="97"/>
      <c r="J5" s="98"/>
    </row>
    <row r="6" spans="1:10">
      <c r="A6" s="3">
        <v>2011</v>
      </c>
      <c r="B6" s="5">
        <f t="shared" ref="B6:B18" si="0">SUM(C6:J6)</f>
        <v>754466669.81999993</v>
      </c>
      <c r="C6" s="37">
        <v>268725506.51999998</v>
      </c>
      <c r="D6" s="37">
        <v>83338833.540000021</v>
      </c>
      <c r="E6" s="37">
        <v>192782769.75999996</v>
      </c>
      <c r="F6" s="37">
        <v>121407487</v>
      </c>
      <c r="G6" s="37">
        <v>80336534</v>
      </c>
      <c r="H6" s="37">
        <v>6418516</v>
      </c>
      <c r="I6" s="37">
        <v>158082</v>
      </c>
      <c r="J6" s="37">
        <v>1298941</v>
      </c>
    </row>
    <row r="7" spans="1:10">
      <c r="A7" s="3">
        <f>A6+1</f>
        <v>2012</v>
      </c>
      <c r="B7" s="5">
        <f t="shared" si="0"/>
        <v>783449113.69999993</v>
      </c>
      <c r="C7" s="37">
        <v>281220954.64999998</v>
      </c>
      <c r="D7" s="37">
        <v>84168273.069999993</v>
      </c>
      <c r="E7" s="37">
        <v>194206572.97999996</v>
      </c>
      <c r="F7" s="37">
        <v>128979851</v>
      </c>
      <c r="G7" s="37">
        <v>86554626</v>
      </c>
      <c r="H7" s="37">
        <v>6834941</v>
      </c>
      <c r="I7" s="37">
        <v>155804</v>
      </c>
      <c r="J7" s="37">
        <v>1328091</v>
      </c>
    </row>
    <row r="8" spans="1:10">
      <c r="A8" s="3">
        <f t="shared" ref="A8:A18" si="1">A7+1</f>
        <v>2013</v>
      </c>
      <c r="B8" s="5">
        <f t="shared" si="0"/>
        <v>814644301.5</v>
      </c>
      <c r="C8" s="37">
        <v>287291133.52999997</v>
      </c>
      <c r="D8" s="37">
        <v>87021883.129999995</v>
      </c>
      <c r="E8" s="37">
        <v>203179610.86000001</v>
      </c>
      <c r="F8" s="37">
        <v>100652663.27</v>
      </c>
      <c r="G8" s="37">
        <v>127931414.90000002</v>
      </c>
      <c r="H8" s="37">
        <v>7077824.8700000001</v>
      </c>
      <c r="I8" s="37">
        <v>153123.74</v>
      </c>
      <c r="J8" s="37">
        <v>1336647.2</v>
      </c>
    </row>
    <row r="9" spans="1:10">
      <c r="A9" s="3">
        <f t="shared" si="1"/>
        <v>2014</v>
      </c>
      <c r="B9" s="5">
        <f t="shared" si="0"/>
        <v>836470876.05999994</v>
      </c>
      <c r="C9" s="37">
        <v>290591982.63</v>
      </c>
      <c r="D9" s="37">
        <v>88384426.730000004</v>
      </c>
      <c r="E9" s="37">
        <v>204924669.72999999</v>
      </c>
      <c r="F9" s="37">
        <v>110411188.92</v>
      </c>
      <c r="G9" s="37">
        <v>133427900.34</v>
      </c>
      <c r="H9" s="37">
        <v>7239934.3099999996</v>
      </c>
      <c r="I9" s="37">
        <v>151002.67000000001</v>
      </c>
      <c r="J9" s="37">
        <v>1339770.73</v>
      </c>
    </row>
    <row r="10" spans="1:10">
      <c r="A10" s="3">
        <f t="shared" si="1"/>
        <v>2015</v>
      </c>
      <c r="B10" s="5">
        <f t="shared" si="0"/>
        <v>848069009.06884122</v>
      </c>
      <c r="C10" s="37">
        <v>295940879.87469882</v>
      </c>
      <c r="D10" s="37">
        <v>88333188.626506001</v>
      </c>
      <c r="E10" s="37">
        <v>205449544.32771084</v>
      </c>
      <c r="F10" s="37">
        <v>112974658.04233061</v>
      </c>
      <c r="G10" s="37">
        <v>136606296.6878854</v>
      </c>
      <c r="H10" s="37">
        <v>7608033.2626506016</v>
      </c>
      <c r="I10" s="37">
        <v>145491.2470588235</v>
      </c>
      <c r="J10" s="37">
        <v>1010917</v>
      </c>
    </row>
    <row r="11" spans="1:10">
      <c r="A11" s="3">
        <f t="shared" si="1"/>
        <v>2016</v>
      </c>
      <c r="B11" s="5">
        <f t="shared" si="0"/>
        <v>873235927.80642521</v>
      </c>
      <c r="C11" s="37">
        <v>310749015.99036139</v>
      </c>
      <c r="D11" s="37">
        <v>88749928.414457858</v>
      </c>
      <c r="E11" s="37">
        <v>204715589.59036142</v>
      </c>
      <c r="F11" s="37">
        <v>119969236.41206953</v>
      </c>
      <c r="G11" s="37">
        <v>140016226.34772229</v>
      </c>
      <c r="H11" s="37">
        <v>7791989.3204819262</v>
      </c>
      <c r="I11" s="37">
        <v>143844.56470588219</v>
      </c>
      <c r="J11" s="37">
        <v>1100097.1662650602</v>
      </c>
    </row>
    <row r="12" spans="1:10">
      <c r="A12" s="3">
        <f t="shared" si="1"/>
        <v>2017</v>
      </c>
      <c r="B12" s="5">
        <f t="shared" si="0"/>
        <v>859270211.18686926</v>
      </c>
      <c r="C12" s="37">
        <v>294253405.64819276</v>
      </c>
      <c r="D12" s="37">
        <v>82899471.903614432</v>
      </c>
      <c r="E12" s="37">
        <v>213633991.96144572</v>
      </c>
      <c r="F12" s="37">
        <v>121918931.97074634</v>
      </c>
      <c r="G12" s="37">
        <v>137562121.61328822</v>
      </c>
      <c r="H12" s="37">
        <v>7758774.5638554217</v>
      </c>
      <c r="I12" s="37">
        <v>142197.88235294091</v>
      </c>
      <c r="J12" s="37">
        <v>1101315.643373494</v>
      </c>
    </row>
    <row r="13" spans="1:10">
      <c r="A13" s="3">
        <f t="shared" si="1"/>
        <v>2018</v>
      </c>
      <c r="B13" s="5">
        <f t="shared" si="0"/>
        <v>909512508.6674726</v>
      </c>
      <c r="C13" s="37">
        <v>323623192.28915668</v>
      </c>
      <c r="D13" s="37">
        <v>86093744.838554204</v>
      </c>
      <c r="E13" s="37">
        <v>221806792.86746988</v>
      </c>
      <c r="F13" s="37">
        <v>130413203.88434154</v>
      </c>
      <c r="G13" s="37">
        <v>138505562.38313109</v>
      </c>
      <c r="H13" s="37">
        <v>7837155.3349397583</v>
      </c>
      <c r="I13" s="37">
        <v>140551.19999999966</v>
      </c>
      <c r="J13" s="37">
        <v>1092305.8698795179</v>
      </c>
    </row>
    <row r="14" spans="1:10">
      <c r="A14" s="3">
        <f t="shared" si="1"/>
        <v>2019</v>
      </c>
      <c r="B14" s="5">
        <f t="shared" si="0"/>
        <v>907143690.21844316</v>
      </c>
      <c r="C14" s="37">
        <v>316413176.16385555</v>
      </c>
      <c r="D14" s="37">
        <v>83808650.746987954</v>
      </c>
      <c r="E14" s="37">
        <v>220154820.13493976</v>
      </c>
      <c r="F14" s="37">
        <v>134423430.54196733</v>
      </c>
      <c r="G14" s="37">
        <v>144434637.29858762</v>
      </c>
      <c r="H14" s="37">
        <v>6707353.0024096388</v>
      </c>
      <c r="I14" s="37">
        <v>138904.51764705841</v>
      </c>
      <c r="J14" s="37">
        <v>1062717.8120481926</v>
      </c>
    </row>
    <row r="15" spans="1:10">
      <c r="A15" s="3">
        <f t="shared" si="1"/>
        <v>2020</v>
      </c>
      <c r="B15" s="5">
        <f>SUM(C15:J15)</f>
        <v>907891652.55668497</v>
      </c>
      <c r="C15" s="37">
        <v>353805930.95903623</v>
      </c>
      <c r="D15" s="37">
        <v>79694764.992771059</v>
      </c>
      <c r="E15" s="37">
        <v>209733279.5373494</v>
      </c>
      <c r="F15" s="37">
        <v>128841062.06228508</v>
      </c>
      <c r="G15" s="37">
        <v>129179340.58086331</v>
      </c>
      <c r="H15" s="37">
        <v>5438441.1759036137</v>
      </c>
      <c r="I15" s="37">
        <v>137566.58823529384</v>
      </c>
      <c r="J15" s="37">
        <v>1061266.6602409636</v>
      </c>
    </row>
    <row r="16" spans="1:10">
      <c r="A16" s="3">
        <f t="shared" si="1"/>
        <v>2021</v>
      </c>
      <c r="B16" s="5">
        <f>SUM(C16:J16)</f>
        <v>936433540.89398074</v>
      </c>
      <c r="C16" s="37">
        <v>360408160.45301205</v>
      </c>
      <c r="D16" s="37">
        <v>85479169.763855413</v>
      </c>
      <c r="E16" s="37">
        <v>214209551.57590359</v>
      </c>
      <c r="F16" s="37">
        <v>132400892.43957959</v>
      </c>
      <c r="G16" s="37">
        <v>137730887.895365</v>
      </c>
      <c r="H16" s="37">
        <v>5029763.2289156616</v>
      </c>
      <c r="I16" s="37">
        <v>138218.4</v>
      </c>
      <c r="J16" s="37">
        <v>1036897.1373493974</v>
      </c>
    </row>
    <row r="17" spans="1:10">
      <c r="A17" s="3">
        <f t="shared" si="1"/>
        <v>2022</v>
      </c>
      <c r="B17" s="70">
        <f>SUM(C17:J17)</f>
        <v>911500381.80436707</v>
      </c>
      <c r="C17" s="84">
        <f>Residential!Q177</f>
        <v>349966539.7633298</v>
      </c>
      <c r="D17" s="84">
        <v>89024083.567961514</v>
      </c>
      <c r="E17" s="84">
        <v>220105337.24250281</v>
      </c>
      <c r="F17" s="84">
        <f>F41</f>
        <v>108681342.23086476</v>
      </c>
      <c r="G17" s="71">
        <f>G41</f>
        <v>137482509.95424706</v>
      </c>
      <c r="H17" s="71">
        <v>5051905.8805661034</v>
      </c>
      <c r="I17" s="71">
        <v>136514.01728512658</v>
      </c>
      <c r="J17" s="71">
        <v>1052149.1476099852</v>
      </c>
    </row>
    <row r="18" spans="1:10">
      <c r="A18" s="3">
        <f t="shared" si="1"/>
        <v>2023</v>
      </c>
      <c r="B18" s="70">
        <f t="shared" si="0"/>
        <v>930863324.13608348</v>
      </c>
      <c r="C18" s="84">
        <f>Residential!Q178</f>
        <v>357625148.36985892</v>
      </c>
      <c r="D18" s="84">
        <v>91261475.092310622</v>
      </c>
      <c r="E18" s="84">
        <v>229532704.72712222</v>
      </c>
      <c r="F18" s="84">
        <f>F42</f>
        <v>108681342.23086476</v>
      </c>
      <c r="G18" s="71">
        <f>G42</f>
        <v>137482509.95424706</v>
      </c>
      <c r="H18" s="71">
        <v>5077521.8495792095</v>
      </c>
      <c r="I18" s="71">
        <v>134830.65145685265</v>
      </c>
      <c r="J18" s="71">
        <v>1067791.2606439681</v>
      </c>
    </row>
    <row r="19" spans="1:10">
      <c r="A19" s="3"/>
      <c r="B19" s="70"/>
      <c r="C19" s="83"/>
      <c r="D19" s="83"/>
      <c r="E19" s="83"/>
      <c r="F19" s="83"/>
      <c r="G19" s="70"/>
      <c r="H19" s="70"/>
      <c r="I19" s="70"/>
      <c r="J19" s="70"/>
    </row>
    <row r="20" spans="1:10">
      <c r="A20" s="11" t="s">
        <v>87</v>
      </c>
      <c r="C20" s="5">
        <v>1186506.8036179999</v>
      </c>
      <c r="D20" s="5">
        <v>3301337.770131859</v>
      </c>
      <c r="E20" s="5">
        <v>8236461.1556725316</v>
      </c>
      <c r="F20" s="5">
        <v>5063931.0557399914</v>
      </c>
      <c r="G20" s="5">
        <v>6351209.7982819034</v>
      </c>
    </row>
    <row r="21" spans="1:10">
      <c r="A21" s="22" t="s">
        <v>88</v>
      </c>
      <c r="B21" s="70"/>
    </row>
    <row r="22" spans="1:10">
      <c r="A22">
        <v>2022</v>
      </c>
      <c r="B22" s="70">
        <f t="shared" ref="B22" si="2">SUM(C22:J22)</f>
        <v>887360935.22092271</v>
      </c>
      <c r="C22" s="71">
        <f>C17-C20</f>
        <v>348780032.95971179</v>
      </c>
      <c r="D22" s="71">
        <f>D17-D20</f>
        <v>85722745.797829658</v>
      </c>
      <c r="E22" s="71">
        <f t="shared" ref="E22:J22" si="3">E17-E20</f>
        <v>211868876.08683029</v>
      </c>
      <c r="F22" s="71">
        <f t="shared" si="3"/>
        <v>103617411.17512476</v>
      </c>
      <c r="G22" s="71">
        <f t="shared" si="3"/>
        <v>131131300.15596515</v>
      </c>
      <c r="H22" s="71">
        <f t="shared" si="3"/>
        <v>5051905.8805661034</v>
      </c>
      <c r="I22" s="71">
        <f t="shared" si="3"/>
        <v>136514.01728512658</v>
      </c>
      <c r="J22" s="71">
        <f t="shared" si="3"/>
        <v>1052149.1476099852</v>
      </c>
    </row>
    <row r="23" spans="1:10">
      <c r="A23">
        <v>2023</v>
      </c>
      <c r="B23" s="70">
        <f t="shared" ref="B23" si="4">SUM(C23:J23)</f>
        <v>906723877.55263937</v>
      </c>
      <c r="C23" s="71">
        <f t="shared" ref="C23:J23" si="5">C18-C20</f>
        <v>356438641.56624091</v>
      </c>
      <c r="D23" s="71">
        <f t="shared" si="5"/>
        <v>87960137.322178766</v>
      </c>
      <c r="E23" s="71">
        <f t="shared" si="5"/>
        <v>221296243.5714497</v>
      </c>
      <c r="F23" s="71">
        <f t="shared" si="5"/>
        <v>103617411.17512476</v>
      </c>
      <c r="G23" s="71">
        <f t="shared" si="5"/>
        <v>131131300.15596515</v>
      </c>
      <c r="H23" s="71">
        <f t="shared" si="5"/>
        <v>5077521.8495792095</v>
      </c>
      <c r="I23" s="71">
        <f t="shared" si="5"/>
        <v>134830.65145685265</v>
      </c>
      <c r="J23" s="71">
        <f t="shared" si="5"/>
        <v>1067791.2606439681</v>
      </c>
    </row>
    <row r="24" spans="1:10">
      <c r="H24" s="26"/>
      <c r="I24" s="26"/>
      <c r="J24" s="26"/>
    </row>
    <row r="25" spans="1:10">
      <c r="A25" s="12" t="s">
        <v>89</v>
      </c>
    </row>
    <row r="27" spans="1:10">
      <c r="A27">
        <f t="shared" ref="A27:A35" si="6">A6</f>
        <v>2011</v>
      </c>
      <c r="C27" s="5">
        <v>9907.1441728086302</v>
      </c>
      <c r="D27" s="5">
        <v>35748.561304021459</v>
      </c>
      <c r="E27" s="5">
        <v>731392.10784698057</v>
      </c>
      <c r="F27" s="5">
        <v>9712598.9600000009</v>
      </c>
      <c r="G27" s="5">
        <v>40168267</v>
      </c>
      <c r="H27" s="5">
        <v>2254.088147497805</v>
      </c>
      <c r="I27" s="5">
        <v>595.4124293785311</v>
      </c>
      <c r="J27" s="5">
        <v>7002.3773584905657</v>
      </c>
    </row>
    <row r="28" spans="1:10">
      <c r="A28">
        <f t="shared" si="6"/>
        <v>2012</v>
      </c>
      <c r="C28" s="5">
        <v>9751.8341288762113</v>
      </c>
      <c r="D28" s="5">
        <v>35045.776434420543</v>
      </c>
      <c r="E28" s="5">
        <v>715749.04046683037</v>
      </c>
      <c r="F28" s="5">
        <v>10748320.916666666</v>
      </c>
      <c r="G28" s="5">
        <v>43277313</v>
      </c>
      <c r="H28" s="5">
        <v>2320.4688507893397</v>
      </c>
      <c r="I28" s="5">
        <v>587.93962264150946</v>
      </c>
      <c r="J28" s="5">
        <v>7008.3957783641163</v>
      </c>
    </row>
    <row r="29" spans="1:10">
      <c r="A29">
        <f t="shared" si="6"/>
        <v>2013</v>
      </c>
      <c r="C29" s="5">
        <v>9348.6788505510231</v>
      </c>
      <c r="D29" s="5">
        <v>35401.132197437117</v>
      </c>
      <c r="E29" s="5">
        <v>746526.43304347829</v>
      </c>
      <c r="F29" s="5">
        <v>8752405.5017391294</v>
      </c>
      <c r="G29" s="5">
        <v>51172565.960000008</v>
      </c>
      <c r="H29" s="5">
        <v>2344.8152625476232</v>
      </c>
      <c r="I29" s="5">
        <v>587.80706333973126</v>
      </c>
      <c r="J29" s="5">
        <v>6961.7041666666664</v>
      </c>
    </row>
    <row r="30" spans="1:10">
      <c r="A30">
        <f t="shared" si="6"/>
        <v>2014</v>
      </c>
      <c r="C30" s="5">
        <v>9164.9398043013734</v>
      </c>
      <c r="D30" s="5">
        <v>35211.749967132564</v>
      </c>
      <c r="E30" s="5">
        <v>733183.07595706615</v>
      </c>
      <c r="F30" s="5">
        <v>9600972.9495652169</v>
      </c>
      <c r="G30" s="5">
        <v>44475966.780000001</v>
      </c>
      <c r="H30" s="5">
        <v>2357.1330978349338</v>
      </c>
      <c r="I30" s="5">
        <v>595.67128205128211</v>
      </c>
      <c r="J30" s="5">
        <v>7032.9172178477693</v>
      </c>
    </row>
    <row r="31" spans="1:10">
      <c r="A31">
        <f t="shared" si="6"/>
        <v>2015</v>
      </c>
      <c r="C31" s="5">
        <v>9045.3159959766435</v>
      </c>
      <c r="D31" s="5">
        <v>34615.57911038051</v>
      </c>
      <c r="E31" s="5">
        <v>707024.52880198741</v>
      </c>
      <c r="F31" s="5">
        <v>8978118.5199203119</v>
      </c>
      <c r="G31" s="5">
        <v>45535432.229295135</v>
      </c>
      <c r="H31" s="5">
        <v>2432.4949150540133</v>
      </c>
      <c r="I31" s="5">
        <v>583.20000000000005</v>
      </c>
      <c r="J31" s="5">
        <v>4879.7280772325021</v>
      </c>
    </row>
    <row r="32" spans="1:10">
      <c r="A32">
        <f t="shared" si="6"/>
        <v>2016</v>
      </c>
      <c r="C32" s="5">
        <v>9266.984410552659</v>
      </c>
      <c r="D32" s="5">
        <v>34096.338753753618</v>
      </c>
      <c r="E32" s="5">
        <v>687734.34352864977</v>
      </c>
      <c r="F32" s="5">
        <v>8886610.1045977436</v>
      </c>
      <c r="G32" s="5">
        <v>46672075.449240766</v>
      </c>
      <c r="H32" s="5">
        <v>2461.9239559184603</v>
      </c>
      <c r="I32" s="5">
        <v>583.19999999999982</v>
      </c>
      <c r="J32" s="5">
        <v>4946.109402465614</v>
      </c>
    </row>
    <row r="33" spans="1:11">
      <c r="A33">
        <f t="shared" si="6"/>
        <v>2017</v>
      </c>
      <c r="C33" s="5">
        <v>8568.0128015896207</v>
      </c>
      <c r="D33" s="5">
        <v>31326.16396408153</v>
      </c>
      <c r="E33" s="5">
        <v>669174.6028549592</v>
      </c>
      <c r="F33" s="5">
        <v>8127928.7980497563</v>
      </c>
      <c r="G33" s="5">
        <v>45854040.537762739</v>
      </c>
      <c r="H33" s="5">
        <v>2401.4778118716804</v>
      </c>
      <c r="I33" s="5">
        <v>583.19999999999982</v>
      </c>
      <c r="J33" s="5">
        <v>5108.5379669431495</v>
      </c>
    </row>
    <row r="34" spans="1:11">
      <c r="A34">
        <f t="shared" si="6"/>
        <v>2018</v>
      </c>
      <c r="C34" s="5">
        <v>9040.72202207378</v>
      </c>
      <c r="D34" s="5">
        <v>32053.766189775386</v>
      </c>
      <c r="E34" s="5">
        <v>672821.41415814927</v>
      </c>
      <c r="F34" s="5">
        <v>9205637.9212476388</v>
      </c>
      <c r="G34" s="5">
        <v>46168520.794377029</v>
      </c>
      <c r="H34" s="5">
        <v>2402.6459375867585</v>
      </c>
      <c r="I34" s="5">
        <v>583.19999999999993</v>
      </c>
      <c r="J34" s="5">
        <v>4985.8008514850571</v>
      </c>
    </row>
    <row r="35" spans="1:11">
      <c r="A35">
        <f t="shared" si="6"/>
        <v>2019</v>
      </c>
      <c r="C35" s="5">
        <v>8551.4378239566031</v>
      </c>
      <c r="D35" s="5">
        <v>31136.34083479429</v>
      </c>
      <c r="E35" s="5">
        <v>643100.74041365075</v>
      </c>
      <c r="F35" s="5">
        <v>9601673.6101405229</v>
      </c>
      <c r="G35" s="5">
        <v>48144879.099529207</v>
      </c>
      <c r="H35" s="5">
        <v>2045.3923922877605</v>
      </c>
      <c r="I35" s="5">
        <v>583.19999999999993</v>
      </c>
      <c r="J35" s="5">
        <v>4904.8514402224273</v>
      </c>
    </row>
    <row r="36" spans="1:11">
      <c r="A36">
        <f>A35+1</f>
        <v>2020</v>
      </c>
      <c r="C36" s="5">
        <v>9383.3000822338563</v>
      </c>
      <c r="D36" s="5">
        <v>29246.67971232309</v>
      </c>
      <c r="E36" s="5">
        <v>594566.34879475378</v>
      </c>
      <c r="F36" s="5">
        <v>8834815.6842709761</v>
      </c>
      <c r="G36" s="5">
        <v>43059780.193621106</v>
      </c>
      <c r="H36" s="5">
        <v>1690.1971058478805</v>
      </c>
      <c r="I36" s="5">
        <v>583.20000000000005</v>
      </c>
      <c r="J36" s="5">
        <v>4918.9648215108391</v>
      </c>
    </row>
    <row r="37" spans="1:11">
      <c r="A37">
        <f t="shared" ref="A37:A39" si="7">A36+1</f>
        <v>2021</v>
      </c>
      <c r="C37" s="5">
        <v>9363.3789615305304</v>
      </c>
      <c r="D37" s="5">
        <v>29724.131014119939</v>
      </c>
      <c r="E37" s="5">
        <v>621648.0335939161</v>
      </c>
      <c r="F37" s="5">
        <v>9513836.5824847613</v>
      </c>
      <c r="G37" s="5">
        <v>45910295.965121664</v>
      </c>
      <c r="H37" s="5">
        <v>1739.2278166105164</v>
      </c>
      <c r="I37" s="5">
        <v>583.19999999999993</v>
      </c>
      <c r="J37" s="5">
        <v>4791.2074117030306</v>
      </c>
    </row>
    <row r="38" spans="1:11">
      <c r="A38">
        <f t="shared" si="7"/>
        <v>2022</v>
      </c>
      <c r="C38" s="70">
        <v>8921.0611919251533</v>
      </c>
      <c r="D38" s="70">
        <v>30248.551908011654</v>
      </c>
      <c r="E38" s="70">
        <v>661558.62298176729</v>
      </c>
      <c r="F38" s="70">
        <v>9056778.5192387309</v>
      </c>
      <c r="G38" s="70">
        <v>45827503.318082355</v>
      </c>
      <c r="H38" s="83">
        <f>H37</f>
        <v>1739.2278166105164</v>
      </c>
      <c r="I38" s="83">
        <f t="shared" ref="I38:J39" si="8">I37</f>
        <v>583.19999999999993</v>
      </c>
      <c r="J38" s="83">
        <f t="shared" si="8"/>
        <v>4791.2074117030306</v>
      </c>
    </row>
    <row r="39" spans="1:11">
      <c r="A39">
        <f t="shared" si="7"/>
        <v>2023</v>
      </c>
      <c r="C39" s="70">
        <v>8921.0952278205623</v>
      </c>
      <c r="D39" s="70">
        <v>30748.662665143824</v>
      </c>
      <c r="E39" s="70">
        <v>667631.54895097821</v>
      </c>
      <c r="F39" s="70">
        <v>9056778.5192387309</v>
      </c>
      <c r="G39" s="70">
        <v>45827503.318082355</v>
      </c>
      <c r="H39" s="83">
        <f>H38</f>
        <v>1739.2278166105164</v>
      </c>
      <c r="I39" s="83">
        <f t="shared" si="8"/>
        <v>583.19999999999993</v>
      </c>
      <c r="J39" s="83">
        <f t="shared" si="8"/>
        <v>4791.2074117030306</v>
      </c>
    </row>
    <row r="40" spans="1:11">
      <c r="F40" s="31"/>
      <c r="G40" s="16"/>
    </row>
    <row r="41" spans="1:11">
      <c r="F41" s="39">
        <v>108681342.23086476</v>
      </c>
      <c r="G41" s="39">
        <v>137482509.95424706</v>
      </c>
      <c r="H41" s="72"/>
      <c r="I41" s="72"/>
      <c r="J41" s="72"/>
    </row>
    <row r="42" spans="1:11">
      <c r="F42" s="39">
        <v>108681342.23086476</v>
      </c>
      <c r="G42" s="39">
        <v>137482509.95424706</v>
      </c>
      <c r="H42" s="72"/>
      <c r="I42" s="72"/>
      <c r="J42" s="72"/>
    </row>
    <row r="43" spans="1:11">
      <c r="K43" s="14"/>
    </row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</sheetData>
  <mergeCells count="3">
    <mergeCell ref="C1:J1"/>
    <mergeCell ref="G5:J5"/>
    <mergeCell ref="C5:F5"/>
  </mergeCells>
  <phoneticPr fontId="0" type="noConversion"/>
  <pageMargins left="0.38" right="0.75" top="0.73" bottom="0.74" header="0.5" footer="0.5"/>
  <pageSetup scale="2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X64"/>
  <sheetViews>
    <sheetView zoomScale="110" zoomScaleNormal="110" workbookViewId="0">
      <pane xSplit="1" ySplit="2" topLeftCell="B3" activePane="bottomRight" state="frozen"/>
      <selection activeCell="R25" sqref="R25"/>
      <selection pane="topRight" activeCell="R25" sqref="R25"/>
      <selection pane="bottomLeft" activeCell="R25" sqref="R25"/>
      <selection pane="bottomRight" activeCell="O12" sqref="O12"/>
    </sheetView>
  </sheetViews>
  <sheetFormatPr defaultRowHeight="12.75"/>
  <cols>
    <col min="1" max="1" width="32.7109375" customWidth="1"/>
    <col min="2" max="2" width="1.7109375" customWidth="1"/>
    <col min="3" max="11" width="12" style="1" bestFit="1" customWidth="1"/>
    <col min="12" max="12" width="11.7109375" style="1" customWidth="1"/>
    <col min="13" max="13" width="12.5703125" style="1" customWidth="1"/>
    <col min="14" max="14" width="12" bestFit="1" customWidth="1"/>
    <col min="15" max="15" width="11.7109375" customWidth="1"/>
    <col min="17" max="17" width="11.28515625" bestFit="1" customWidth="1"/>
    <col min="22" max="22" width="11.140625" customWidth="1"/>
  </cols>
  <sheetData>
    <row r="1" spans="1:16" ht="15.75">
      <c r="A1" s="17" t="s">
        <v>23</v>
      </c>
      <c r="B1" s="17"/>
      <c r="N1" s="1"/>
    </row>
    <row r="2" spans="1:16" ht="25.5">
      <c r="A2" s="11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30</v>
      </c>
      <c r="I2" s="19" t="s">
        <v>31</v>
      </c>
      <c r="J2" s="19" t="s">
        <v>32</v>
      </c>
      <c r="K2" s="19" t="s">
        <v>33</v>
      </c>
      <c r="L2" s="19" t="s">
        <v>34</v>
      </c>
      <c r="M2" s="19" t="s">
        <v>35</v>
      </c>
      <c r="N2" s="19" t="s">
        <v>36</v>
      </c>
      <c r="O2" s="19" t="s">
        <v>37</v>
      </c>
    </row>
    <row r="3" spans="1:16" hidden="1">
      <c r="A3" s="11" t="s">
        <v>38</v>
      </c>
      <c r="B3" s="11"/>
      <c r="C3" s="13" t="e">
        <f>+#REF!</f>
        <v>#REF!</v>
      </c>
      <c r="D3" s="5" t="e">
        <f>+#REF!</f>
        <v>#REF!</v>
      </c>
      <c r="E3" s="13" t="e">
        <f>+#REF!</f>
        <v>#REF!</v>
      </c>
      <c r="F3" s="13" t="e">
        <f>+#REF!</f>
        <v>#REF!</v>
      </c>
      <c r="G3" s="13" t="e">
        <f>+#REF!</f>
        <v>#REF!</v>
      </c>
      <c r="H3" s="13" t="e">
        <f>+#REF!</f>
        <v>#REF!</v>
      </c>
      <c r="I3" s="13" t="e">
        <f>+#REF!</f>
        <v>#REF!</v>
      </c>
      <c r="J3" s="13" t="e">
        <f>+#REF!</f>
        <v>#REF!</v>
      </c>
      <c r="K3" s="13" t="e">
        <f>+#REF!</f>
        <v>#REF!</v>
      </c>
      <c r="L3" s="15"/>
      <c r="M3" s="15"/>
      <c r="N3" s="1"/>
      <c r="O3" s="1"/>
    </row>
    <row r="4" spans="1:16" hidden="1">
      <c r="A4" s="11" t="s">
        <v>39</v>
      </c>
      <c r="B4" s="11"/>
      <c r="C4" s="13" t="e">
        <f>+#REF!</f>
        <v>#REF!</v>
      </c>
      <c r="D4" s="13" t="e">
        <f>+#REF!</f>
        <v>#REF!</v>
      </c>
      <c r="E4" s="13" t="e">
        <f>+#REF!</f>
        <v>#REF!</v>
      </c>
      <c r="F4" s="13" t="e">
        <f>+#REF!</f>
        <v>#REF!</v>
      </c>
      <c r="G4" s="13" t="e">
        <f>+#REF!</f>
        <v>#REF!</v>
      </c>
      <c r="H4" s="13" t="e">
        <f>+#REF!</f>
        <v>#REF!</v>
      </c>
      <c r="I4" s="13" t="e">
        <f>+#REF!</f>
        <v>#REF!</v>
      </c>
      <c r="J4" s="13" t="e">
        <f>+#REF!</f>
        <v>#REF!</v>
      </c>
      <c r="K4" s="13" t="e">
        <f>+#REF!</f>
        <v>#REF!</v>
      </c>
      <c r="L4" s="13" t="e">
        <f>+#REF!</f>
        <v>#REF!</v>
      </c>
      <c r="M4" s="13"/>
      <c r="N4" s="13" t="e">
        <f>+#REF!</f>
        <v>#REF!</v>
      </c>
      <c r="O4" s="1"/>
    </row>
    <row r="5" spans="1:16" hidden="1">
      <c r="A5" s="11" t="s">
        <v>40</v>
      </c>
      <c r="B5" s="11"/>
      <c r="C5" s="18" t="e">
        <f t="shared" ref="C5:K5" si="0">(C4-C3)/C3</f>
        <v>#REF!</v>
      </c>
      <c r="D5" s="18" t="e">
        <f t="shared" si="0"/>
        <v>#REF!</v>
      </c>
      <c r="E5" s="18" t="e">
        <f t="shared" si="0"/>
        <v>#REF!</v>
      </c>
      <c r="F5" s="18" t="e">
        <f t="shared" si="0"/>
        <v>#REF!</v>
      </c>
      <c r="G5" s="18" t="e">
        <f t="shared" si="0"/>
        <v>#REF!</v>
      </c>
      <c r="H5" s="18" t="e">
        <f t="shared" si="0"/>
        <v>#REF!</v>
      </c>
      <c r="I5" s="18" t="e">
        <f t="shared" si="0"/>
        <v>#REF!</v>
      </c>
      <c r="J5" s="18" t="e">
        <f t="shared" si="0"/>
        <v>#REF!</v>
      </c>
      <c r="K5" s="18" t="e">
        <f t="shared" si="0"/>
        <v>#REF!</v>
      </c>
      <c r="L5" s="24"/>
      <c r="M5" s="24"/>
      <c r="N5" s="21"/>
      <c r="O5" s="1"/>
    </row>
    <row r="6" spans="1:16" ht="5.0999999999999996" customHeight="1">
      <c r="A6" s="11"/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"/>
      <c r="O6" s="1"/>
    </row>
    <row r="7" spans="1:16">
      <c r="A7" s="11" t="s">
        <v>41</v>
      </c>
      <c r="B7" s="11"/>
      <c r="C7" s="5">
        <f ca="1">OFFSET('Rate Class Energy Model'!$B$6,COLUMN()-COLUMN($C7),0)</f>
        <v>754466669.81999993</v>
      </c>
      <c r="D7" s="5">
        <f ca="1">OFFSET('Rate Class Energy Model'!$B$6,COLUMN()-COLUMN($C7),0)</f>
        <v>783449113.69999993</v>
      </c>
      <c r="E7" s="5">
        <f ca="1">OFFSET('Rate Class Energy Model'!$B$6,COLUMN()-COLUMN($C7),0)</f>
        <v>814644301.5</v>
      </c>
      <c r="F7" s="5">
        <f ca="1">OFFSET('Rate Class Energy Model'!$B$6,COLUMN()-COLUMN($C7),0)</f>
        <v>836470876.05999994</v>
      </c>
      <c r="G7" s="5">
        <f ca="1">OFFSET('Rate Class Energy Model'!$B$6,COLUMN()-COLUMN($C7),0)</f>
        <v>848069009.06884122</v>
      </c>
      <c r="H7" s="5">
        <f ca="1">OFFSET('Rate Class Energy Model'!$B$6,COLUMN()-COLUMN($C7),0)</f>
        <v>873235927.80642521</v>
      </c>
      <c r="I7" s="5">
        <f ca="1">OFFSET('Rate Class Energy Model'!$B$6,COLUMN()-COLUMN($C7),0)</f>
        <v>859270211.18686926</v>
      </c>
      <c r="J7" s="5">
        <f ca="1">OFFSET('Rate Class Energy Model'!$B$6,COLUMN()-COLUMN($C7),0)</f>
        <v>909512508.6674726</v>
      </c>
      <c r="K7" s="5">
        <f ca="1">OFFSET('Rate Class Energy Model'!$B$6,COLUMN()-COLUMN($C7),0)</f>
        <v>907143690.21844316</v>
      </c>
      <c r="L7" s="5">
        <f ca="1">OFFSET('Rate Class Energy Model'!$B$6,COLUMN()-COLUMN($C7),0)</f>
        <v>907891652.55668497</v>
      </c>
      <c r="M7" s="5">
        <f ca="1">OFFSET('Rate Class Energy Model'!$B$6,COLUMN()-COLUMN($C7),0)</f>
        <v>936433540.89398074</v>
      </c>
      <c r="N7" s="5">
        <f ca="1">OFFSET('Rate Class Energy Model'!$B$6,COLUMN()-COLUMN($C7)+5,0)</f>
        <v>887360935.22092271</v>
      </c>
      <c r="O7" s="5">
        <f ca="1">OFFSET('Rate Class Energy Model'!$B$6,COLUMN()-COLUMN($C7)+5,0)</f>
        <v>906723877.55263937</v>
      </c>
      <c r="P7" s="5"/>
    </row>
    <row r="8" spans="1:16">
      <c r="A8" s="11"/>
      <c r="B8" s="11"/>
      <c r="C8" s="15"/>
      <c r="D8" s="15"/>
      <c r="E8" s="15"/>
      <c r="F8" s="15"/>
      <c r="G8" s="15"/>
      <c r="H8" s="15"/>
      <c r="I8" s="15"/>
      <c r="N8" s="1"/>
      <c r="O8" s="1"/>
    </row>
    <row r="9" spans="1:16" ht="15.75">
      <c r="A9" s="17" t="s">
        <v>42</v>
      </c>
      <c r="B9" s="17"/>
      <c r="N9" s="1"/>
      <c r="O9" s="1"/>
    </row>
    <row r="10" spans="1:16">
      <c r="A10" s="16" t="str">
        <f>'Rate Class Energy Model'!C2</f>
        <v xml:space="preserve">Residential </v>
      </c>
      <c r="B10" s="16"/>
      <c r="N10" s="1"/>
      <c r="O10" s="1"/>
      <c r="P10" s="1"/>
    </row>
    <row r="11" spans="1:16">
      <c r="A11" t="s">
        <v>43</v>
      </c>
      <c r="C11" s="5">
        <v>27124.416666666668</v>
      </c>
      <c r="D11" s="5">
        <v>28837.75</v>
      </c>
      <c r="E11" s="5">
        <v>30730.666666666668</v>
      </c>
      <c r="F11" s="5">
        <v>31706.916666666668</v>
      </c>
      <c r="G11" s="5">
        <v>32717.583333333332</v>
      </c>
      <c r="H11" s="5">
        <v>33532.916666666664</v>
      </c>
      <c r="I11" s="5">
        <v>34343.25</v>
      </c>
      <c r="J11" s="5">
        <v>35796.166666666664</v>
      </c>
      <c r="K11" s="5">
        <v>37001.166666666664</v>
      </c>
      <c r="L11" s="5">
        <v>37705.916666666664</v>
      </c>
      <c r="M11" s="5">
        <v>38491.25</v>
      </c>
      <c r="N11" s="5">
        <v>39229.25</v>
      </c>
      <c r="O11" s="5">
        <v>40087.583333333314</v>
      </c>
      <c r="P11" s="5"/>
    </row>
    <row r="12" spans="1:16">
      <c r="A12" t="s">
        <v>44</v>
      </c>
      <c r="C12" s="5">
        <f ca="1">OFFSET('Rate Class Energy Model'!$C$6,COLUMN()-COLUMN($C12),0)</f>
        <v>268725506.51999998</v>
      </c>
      <c r="D12" s="5">
        <f ca="1">OFFSET('Rate Class Energy Model'!$C$6,COLUMN()-COLUMN($C12),0)</f>
        <v>281220954.64999998</v>
      </c>
      <c r="E12" s="5">
        <f ca="1">OFFSET('Rate Class Energy Model'!$C$6,COLUMN()-COLUMN($C12),0)</f>
        <v>287291133.52999997</v>
      </c>
      <c r="F12" s="5">
        <f ca="1">OFFSET('Rate Class Energy Model'!$C$6,COLUMN()-COLUMN($C12),0)</f>
        <v>290591982.63</v>
      </c>
      <c r="G12" s="5">
        <f ca="1">OFFSET('Rate Class Energy Model'!$C$6,COLUMN()-COLUMN($C12),0)</f>
        <v>295940879.87469882</v>
      </c>
      <c r="H12" s="5">
        <f ca="1">OFFSET('Rate Class Energy Model'!$C$6,COLUMN()-COLUMN($C12),0)</f>
        <v>310749015.99036139</v>
      </c>
      <c r="I12" s="5">
        <f ca="1">OFFSET('Rate Class Energy Model'!$C$6,COLUMN()-COLUMN($C12),0)</f>
        <v>294253405.64819276</v>
      </c>
      <c r="J12" s="5">
        <f ca="1">OFFSET('Rate Class Energy Model'!$C$6,COLUMN()-COLUMN($C12),0)</f>
        <v>323623192.28915668</v>
      </c>
      <c r="K12" s="5">
        <f ca="1">OFFSET('Rate Class Energy Model'!$C$6,COLUMN()-COLUMN($C12),0)</f>
        <v>316413176.16385555</v>
      </c>
      <c r="L12" s="5">
        <f ca="1">OFFSET('Rate Class Energy Model'!$C$6,COLUMN()-COLUMN($C12),0)</f>
        <v>353805930.95903623</v>
      </c>
      <c r="M12" s="5">
        <f ca="1">OFFSET('Rate Class Energy Model'!$C$6,COLUMN()-COLUMN($C12),0)</f>
        <v>360408160.45301205</v>
      </c>
      <c r="N12" s="5">
        <f ca="1">OFFSET('Rate Class Energy Model'!$C$6,COLUMN()-COLUMN($C12)+5,0)</f>
        <v>348780032.95971179</v>
      </c>
      <c r="O12" s="5">
        <f ca="1">OFFSET('Rate Class Energy Model'!$C$6,COLUMN()-COLUMN($C12)+5,0)</f>
        <v>356438641.56624091</v>
      </c>
      <c r="P12" s="5"/>
    </row>
    <row r="13" spans="1:16" ht="5.0999999999999996" customHeight="1">
      <c r="N13" s="21"/>
      <c r="O13" s="1"/>
      <c r="P13" s="1"/>
    </row>
    <row r="14" spans="1:16">
      <c r="A14" s="16" t="str">
        <f>'Rate Class Energy Model'!D2</f>
        <v>General Service &lt; 50 kW</v>
      </c>
      <c r="B14" s="16"/>
      <c r="N14" s="1"/>
      <c r="O14" s="1"/>
      <c r="P14" s="1"/>
    </row>
    <row r="15" spans="1:16">
      <c r="A15" t="s">
        <v>43</v>
      </c>
      <c r="C15" s="5">
        <v>2331.25</v>
      </c>
      <c r="D15" s="5">
        <v>2401.6666666666665</v>
      </c>
      <c r="E15" s="5">
        <v>2458.1666666666665</v>
      </c>
      <c r="F15" s="5">
        <v>2510.0833333333335</v>
      </c>
      <c r="G15" s="5">
        <v>2551.8333333333335</v>
      </c>
      <c r="H15" s="5">
        <v>2602.9166666666665</v>
      </c>
      <c r="I15" s="5">
        <v>2646.3333333333335</v>
      </c>
      <c r="J15" s="5">
        <v>2685.9166666666665</v>
      </c>
      <c r="K15" s="5">
        <v>2691.6666666666665</v>
      </c>
      <c r="L15" s="5">
        <v>2724.9166666666665</v>
      </c>
      <c r="M15" s="5">
        <v>2875.75</v>
      </c>
      <c r="N15" s="5">
        <v>2943.0857992373026</v>
      </c>
      <c r="O15" s="5">
        <v>2989.9091003503345</v>
      </c>
      <c r="P15" s="5"/>
    </row>
    <row r="16" spans="1:16">
      <c r="A16" t="s">
        <v>44</v>
      </c>
      <c r="C16" s="5">
        <f ca="1">OFFSET('Rate Class Energy Model'!$D$6,COLUMN()-COLUMN($C16),0)</f>
        <v>83338833.540000021</v>
      </c>
      <c r="D16" s="5">
        <f ca="1">OFFSET('Rate Class Energy Model'!$D$6,COLUMN()-COLUMN($C16),0)</f>
        <v>84168273.069999993</v>
      </c>
      <c r="E16" s="5">
        <f ca="1">OFFSET('Rate Class Energy Model'!$D$6,COLUMN()-COLUMN($C16),0)</f>
        <v>87021883.129999995</v>
      </c>
      <c r="F16" s="5">
        <f ca="1">OFFSET('Rate Class Energy Model'!$D$6,COLUMN()-COLUMN($C16),0)</f>
        <v>88384426.730000004</v>
      </c>
      <c r="G16" s="5">
        <f ca="1">OFFSET('Rate Class Energy Model'!$D$6,COLUMN()-COLUMN($C16),0)</f>
        <v>88333188.626506001</v>
      </c>
      <c r="H16" s="5">
        <f ca="1">OFFSET('Rate Class Energy Model'!$D$6,COLUMN()-COLUMN($C16),0)</f>
        <v>88749928.414457858</v>
      </c>
      <c r="I16" s="5">
        <f ca="1">OFFSET('Rate Class Energy Model'!$D$6,COLUMN()-COLUMN($C16),0)</f>
        <v>82899471.903614432</v>
      </c>
      <c r="J16" s="5">
        <f ca="1">OFFSET('Rate Class Energy Model'!$D$6,COLUMN()-COLUMN($C16),0)</f>
        <v>86093744.838554204</v>
      </c>
      <c r="K16" s="5">
        <f ca="1">OFFSET('Rate Class Energy Model'!$D$6,COLUMN()-COLUMN($C16),0)</f>
        <v>83808650.746987954</v>
      </c>
      <c r="L16" s="5">
        <f ca="1">OFFSET('Rate Class Energy Model'!$D$6,COLUMN()-COLUMN($C16),0)</f>
        <v>79694764.992771059</v>
      </c>
      <c r="M16" s="5">
        <f ca="1">OFFSET('Rate Class Energy Model'!$D$6,COLUMN()-COLUMN($C16),0)</f>
        <v>85479169.763855413</v>
      </c>
      <c r="N16" s="5">
        <f ca="1">OFFSET('Rate Class Energy Model'!$D$6,COLUMN()-COLUMN($C16)+5,0)</f>
        <v>85722745.797829658</v>
      </c>
      <c r="O16" s="5">
        <f ca="1">OFFSET('Rate Class Energy Model'!$D$6,COLUMN()-COLUMN($C16)+5,0)</f>
        <v>87960137.322178766</v>
      </c>
      <c r="P16" s="5"/>
    </row>
    <row r="17" spans="1:21" ht="5.0999999999999996" customHeight="1">
      <c r="N17" s="21"/>
      <c r="O17" s="1"/>
      <c r="P17" s="1"/>
      <c r="S17">
        <f>IF(R17="Over",Q17*12*C17,L17)</f>
        <v>0</v>
      </c>
      <c r="U17" s="74">
        <v>1</v>
      </c>
    </row>
    <row r="18" spans="1:21">
      <c r="A18" s="16" t="str">
        <f>'Rate Class Energy Model'!E2</f>
        <v>General Service  50 to 999 kW</v>
      </c>
      <c r="B18" s="16"/>
      <c r="N18" s="5"/>
      <c r="O18" s="1"/>
      <c r="P18" s="1"/>
      <c r="T18">
        <f t="shared" ref="T18:T23" si="1">IF(R18="Over",(S4-S18),M18+N18)</f>
        <v>0</v>
      </c>
    </row>
    <row r="19" spans="1:21">
      <c r="A19" t="s">
        <v>43</v>
      </c>
      <c r="C19" s="5">
        <v>263.58333333333331</v>
      </c>
      <c r="D19" s="5">
        <v>271.33333333333331</v>
      </c>
      <c r="E19" s="5">
        <v>272.16666666666669</v>
      </c>
      <c r="F19" s="5">
        <v>279.5</v>
      </c>
      <c r="G19" s="5">
        <v>290.58333333333331</v>
      </c>
      <c r="H19" s="5">
        <v>297.66666666666669</v>
      </c>
      <c r="I19" s="5">
        <v>319.25</v>
      </c>
      <c r="J19" s="5">
        <v>329.66666666666669</v>
      </c>
      <c r="K19" s="5">
        <v>342.33333333333331</v>
      </c>
      <c r="L19" s="5">
        <v>352.75</v>
      </c>
      <c r="M19" s="5">
        <v>344.58333333333331</v>
      </c>
      <c r="N19" s="5">
        <v>332.7072304649999</v>
      </c>
      <c r="O19" s="5">
        <v>343.80146517608017</v>
      </c>
      <c r="P19" s="5"/>
      <c r="T19">
        <f t="shared" si="1"/>
        <v>677.29056379833321</v>
      </c>
    </row>
    <row r="20" spans="1:21">
      <c r="A20" t="s">
        <v>44</v>
      </c>
      <c r="C20" s="5">
        <f ca="1">OFFSET('Rate Class Energy Model'!$E$6,COLUMN()-COLUMN($C20),0)</f>
        <v>192782769.75999996</v>
      </c>
      <c r="D20" s="5">
        <f ca="1">OFFSET('Rate Class Energy Model'!$E$6,COLUMN()-COLUMN($C20),0)</f>
        <v>194206572.97999996</v>
      </c>
      <c r="E20" s="5">
        <f ca="1">OFFSET('Rate Class Energy Model'!$E$6,COLUMN()-COLUMN($C20),0)</f>
        <v>203179610.86000001</v>
      </c>
      <c r="F20" s="5">
        <f ca="1">OFFSET('Rate Class Energy Model'!$E$6,COLUMN()-COLUMN($C20),0)</f>
        <v>204924669.72999999</v>
      </c>
      <c r="G20" s="5">
        <f ca="1">OFFSET('Rate Class Energy Model'!$E$6,COLUMN()-COLUMN($C20),0)</f>
        <v>205449544.32771084</v>
      </c>
      <c r="H20" s="5">
        <f ca="1">OFFSET('Rate Class Energy Model'!$E$6,COLUMN()-COLUMN($C20),0)</f>
        <v>204715589.59036142</v>
      </c>
      <c r="I20" s="5">
        <f ca="1">OFFSET('Rate Class Energy Model'!$E$6,COLUMN()-COLUMN($C20),0)</f>
        <v>213633991.96144572</v>
      </c>
      <c r="J20" s="5">
        <f ca="1">OFFSET('Rate Class Energy Model'!$E$6,COLUMN()-COLUMN($C20),0)</f>
        <v>221806792.86746988</v>
      </c>
      <c r="K20" s="5">
        <f ca="1">OFFSET('Rate Class Energy Model'!$E$6,COLUMN()-COLUMN($C20),0)</f>
        <v>220154820.13493976</v>
      </c>
      <c r="L20" s="5">
        <f ca="1">OFFSET('Rate Class Energy Model'!$E$6,COLUMN()-COLUMN($C20),0)</f>
        <v>209733279.5373494</v>
      </c>
      <c r="M20" s="5">
        <f ca="1">OFFSET('Rate Class Energy Model'!$E$6,COLUMN()-COLUMN($C20),0)</f>
        <v>214209551.57590359</v>
      </c>
      <c r="N20" s="5">
        <f ca="1">OFFSET('Rate Class Energy Model'!$E$6,COLUMN()-COLUMN($C20)+5,0)</f>
        <v>211868876.08683029</v>
      </c>
      <c r="O20" s="5">
        <f ca="1">OFFSET('Rate Class Energy Model'!$E$6,COLUMN()-COLUMN($C20)+5,0)</f>
        <v>221296243.5714497</v>
      </c>
      <c r="P20" s="5"/>
      <c r="T20">
        <f t="shared" ca="1" si="1"/>
        <v>426078427.66273391</v>
      </c>
    </row>
    <row r="21" spans="1:21">
      <c r="A21" t="s">
        <v>45</v>
      </c>
      <c r="C21" s="5">
        <v>503231</v>
      </c>
      <c r="D21" s="5">
        <v>520812.31</v>
      </c>
      <c r="E21" s="5">
        <v>541769.57999999996</v>
      </c>
      <c r="F21" s="5">
        <v>537015.85</v>
      </c>
      <c r="G21" s="5">
        <v>553187.45000000007</v>
      </c>
      <c r="H21" s="5">
        <v>559203.87</v>
      </c>
      <c r="I21" s="5">
        <v>577937.55000000005</v>
      </c>
      <c r="J21" s="5">
        <v>598252.29</v>
      </c>
      <c r="K21" s="5">
        <v>592126.44000000006</v>
      </c>
      <c r="L21" s="5">
        <v>567108.6</v>
      </c>
      <c r="M21" s="5">
        <v>580241.52</v>
      </c>
      <c r="N21" s="5">
        <v>569878.19472596003</v>
      </c>
      <c r="O21" s="5">
        <v>595235.629297668</v>
      </c>
      <c r="P21" s="5"/>
      <c r="T21">
        <f t="shared" si="1"/>
        <v>1150119.71472596</v>
      </c>
    </row>
    <row r="22" spans="1:21" ht="5.0999999999999996" customHeight="1">
      <c r="N22" s="21"/>
      <c r="O22" s="1"/>
      <c r="P22" s="1"/>
      <c r="T22">
        <f t="shared" si="1"/>
        <v>0</v>
      </c>
    </row>
    <row r="23" spans="1:21">
      <c r="A23" s="16" t="s">
        <v>46</v>
      </c>
      <c r="B23" s="16"/>
      <c r="L23" s="5"/>
      <c r="M23" s="5"/>
      <c r="N23" s="5"/>
      <c r="O23" s="1"/>
      <c r="P23" s="1"/>
      <c r="T23">
        <f t="shared" si="1"/>
        <v>0</v>
      </c>
    </row>
    <row r="24" spans="1:21">
      <c r="A24" t="s">
        <v>43</v>
      </c>
      <c r="C24" s="5">
        <v>12.5</v>
      </c>
      <c r="D24" s="5">
        <v>12</v>
      </c>
      <c r="E24" s="5">
        <v>11.5</v>
      </c>
      <c r="F24" s="5">
        <v>11.5</v>
      </c>
      <c r="G24" s="5">
        <v>12.583333333333334</v>
      </c>
      <c r="H24" s="5">
        <v>13.5</v>
      </c>
      <c r="I24" s="5">
        <v>15</v>
      </c>
      <c r="J24" s="5">
        <v>14.166666666666666</v>
      </c>
      <c r="K24" s="5">
        <v>14</v>
      </c>
      <c r="L24" s="5">
        <v>14.583333333333334</v>
      </c>
      <c r="M24" s="5">
        <v>13.916666666666666</v>
      </c>
      <c r="N24" s="5">
        <v>12</v>
      </c>
      <c r="O24" s="5">
        <v>12</v>
      </c>
      <c r="P24" s="5"/>
    </row>
    <row r="25" spans="1:21">
      <c r="A25" t="s">
        <v>44</v>
      </c>
      <c r="C25" s="5">
        <f ca="1">OFFSET('Rate Class Energy Model'!$F$6,COLUMN()-COLUMN($C25),0)</f>
        <v>121407487</v>
      </c>
      <c r="D25" s="5">
        <f ca="1">OFFSET('Rate Class Energy Model'!$F$6,COLUMN()-COLUMN($C25),0)</f>
        <v>128979851</v>
      </c>
      <c r="E25" s="5">
        <f ca="1">OFFSET('Rate Class Energy Model'!$F$6,COLUMN()-COLUMN($C25),0)</f>
        <v>100652663.27</v>
      </c>
      <c r="F25" s="5">
        <f ca="1">OFFSET('Rate Class Energy Model'!$F$6,COLUMN()-COLUMN($C25),0)</f>
        <v>110411188.92</v>
      </c>
      <c r="G25" s="5">
        <f ca="1">OFFSET('Rate Class Energy Model'!$F$6,COLUMN()-COLUMN($C25),0)</f>
        <v>112974658.04233061</v>
      </c>
      <c r="H25" s="5">
        <f ca="1">OFFSET('Rate Class Energy Model'!$F$6,COLUMN()-COLUMN($C25),0)</f>
        <v>119969236.41206953</v>
      </c>
      <c r="I25" s="5">
        <f ca="1">OFFSET('Rate Class Energy Model'!$F$6,COLUMN()-COLUMN($C25),0)</f>
        <v>121918931.97074634</v>
      </c>
      <c r="J25" s="5">
        <f ca="1">OFFSET('Rate Class Energy Model'!$F$6,COLUMN()-COLUMN($C25),0)</f>
        <v>130413203.88434154</v>
      </c>
      <c r="K25" s="5">
        <f ca="1">OFFSET('Rate Class Energy Model'!$F$6,COLUMN()-COLUMN($C25),0)</f>
        <v>134423430.54196733</v>
      </c>
      <c r="L25" s="5">
        <f ca="1">OFFSET('Rate Class Energy Model'!$F$6,COLUMN()-COLUMN($C25),0)</f>
        <v>128841062.06228508</v>
      </c>
      <c r="M25" s="5">
        <f ca="1">OFFSET('Rate Class Energy Model'!$F$6,COLUMN()-COLUMN($C25),0)</f>
        <v>132400892.43957959</v>
      </c>
      <c r="N25" s="5">
        <f ca="1">OFFSET('Rate Class Energy Model'!$F$6,COLUMN()-COLUMN($C25)+5,0)</f>
        <v>103617411.17512476</v>
      </c>
      <c r="O25" s="5">
        <f ca="1">OFFSET('Rate Class Energy Model'!$F$6,COLUMN()-COLUMN($C25)+5,0)</f>
        <v>103617411.17512476</v>
      </c>
      <c r="P25" s="5"/>
    </row>
    <row r="26" spans="1:21">
      <c r="A26" t="s">
        <v>45</v>
      </c>
      <c r="C26" s="5">
        <v>260972</v>
      </c>
      <c r="D26" s="5">
        <v>287183</v>
      </c>
      <c r="E26" s="5">
        <v>232734.3</v>
      </c>
      <c r="F26" s="5">
        <v>242503.52999999997</v>
      </c>
      <c r="G26" s="5">
        <v>254931.54</v>
      </c>
      <c r="H26" s="5">
        <v>271131.24</v>
      </c>
      <c r="I26" s="5">
        <v>279302.57</v>
      </c>
      <c r="J26" s="5">
        <v>289804.19999999995</v>
      </c>
      <c r="K26" s="5">
        <v>295909.30999999994</v>
      </c>
      <c r="L26" s="5">
        <v>278402.25</v>
      </c>
      <c r="M26" s="5">
        <v>266215.46999999997</v>
      </c>
      <c r="N26" s="5">
        <v>225593.88847941163</v>
      </c>
      <c r="O26" s="5">
        <v>225593.88847941163</v>
      </c>
      <c r="P26" s="5"/>
    </row>
    <row r="27" spans="1:21" ht="5.0999999999999996" customHeigh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1"/>
    </row>
    <row r="28" spans="1:21">
      <c r="A28" s="16" t="str">
        <f>'Rate Class Energy Model'!G2</f>
        <v>Large User</v>
      </c>
      <c r="B28" s="16"/>
      <c r="N28" s="5"/>
      <c r="O28" s="1"/>
      <c r="P28" s="1"/>
    </row>
    <row r="29" spans="1:21">
      <c r="A29" t="s">
        <v>43</v>
      </c>
      <c r="C29" s="5">
        <v>2</v>
      </c>
      <c r="D29" s="5">
        <v>2</v>
      </c>
      <c r="E29" s="5">
        <v>2.5</v>
      </c>
      <c r="F29" s="5">
        <v>3</v>
      </c>
      <c r="G29" s="5">
        <v>3</v>
      </c>
      <c r="H29" s="5">
        <v>3</v>
      </c>
      <c r="I29" s="5">
        <v>3</v>
      </c>
      <c r="J29" s="5">
        <v>3</v>
      </c>
      <c r="K29" s="5">
        <v>3</v>
      </c>
      <c r="L29" s="5">
        <v>3</v>
      </c>
      <c r="M29" s="5">
        <v>3</v>
      </c>
      <c r="N29" s="5">
        <v>3</v>
      </c>
      <c r="O29" s="5">
        <v>3</v>
      </c>
      <c r="P29" s="5"/>
    </row>
    <row r="30" spans="1:21">
      <c r="A30" t="s">
        <v>44</v>
      </c>
      <c r="C30" s="5">
        <f ca="1">OFFSET('Rate Class Energy Model'!$G$6,COLUMN()-COLUMN($C30),0)</f>
        <v>80336534</v>
      </c>
      <c r="D30" s="5">
        <f ca="1">OFFSET('Rate Class Energy Model'!$G$6,COLUMN()-COLUMN($C30),0)</f>
        <v>86554626</v>
      </c>
      <c r="E30" s="5">
        <f ca="1">OFFSET('Rate Class Energy Model'!$G$6,COLUMN()-COLUMN($C30),0)</f>
        <v>127931414.90000002</v>
      </c>
      <c r="F30" s="5">
        <f ca="1">OFFSET('Rate Class Energy Model'!$G$6,COLUMN()-COLUMN($C30),0)</f>
        <v>133427900.34</v>
      </c>
      <c r="G30" s="5">
        <f ca="1">OFFSET('Rate Class Energy Model'!$G$6,COLUMN()-COLUMN($C30),0)</f>
        <v>136606296.6878854</v>
      </c>
      <c r="H30" s="5">
        <f ca="1">OFFSET('Rate Class Energy Model'!$G$6,COLUMN()-COLUMN($C30),0)</f>
        <v>140016226.34772229</v>
      </c>
      <c r="I30" s="5">
        <f ca="1">OFFSET('Rate Class Energy Model'!$G$6,COLUMN()-COLUMN($C30),0)</f>
        <v>137562121.61328822</v>
      </c>
      <c r="J30" s="5">
        <f ca="1">OFFSET('Rate Class Energy Model'!$G$6,COLUMN()-COLUMN($C30),0)</f>
        <v>138505562.38313109</v>
      </c>
      <c r="K30" s="5">
        <f ca="1">OFFSET('Rate Class Energy Model'!$G$6,COLUMN()-COLUMN($C30),0)</f>
        <v>144434637.29858762</v>
      </c>
      <c r="L30" s="5">
        <f ca="1">OFFSET('Rate Class Energy Model'!$G$6,COLUMN()-COLUMN($C30),0)</f>
        <v>129179340.58086331</v>
      </c>
      <c r="M30" s="5">
        <f ca="1">OFFSET('Rate Class Energy Model'!$G$6,COLUMN()-COLUMN($C30),0)</f>
        <v>137730887.895365</v>
      </c>
      <c r="N30" s="5">
        <f ca="1">OFFSET('Rate Class Energy Model'!$G$6,COLUMN()-COLUMN($C30)+5,0)</f>
        <v>131131300.15596515</v>
      </c>
      <c r="O30" s="5">
        <f ca="1">OFFSET('Rate Class Energy Model'!$G$6,COLUMN()-COLUMN($C30)+5,0)</f>
        <v>131131300.15596515</v>
      </c>
      <c r="P30" s="5"/>
    </row>
    <row r="31" spans="1:21">
      <c r="A31" t="s">
        <v>45</v>
      </c>
      <c r="C31" s="5">
        <v>175385</v>
      </c>
      <c r="D31" s="5">
        <v>179954</v>
      </c>
      <c r="E31" s="5">
        <v>246682.37</v>
      </c>
      <c r="F31" s="5">
        <v>253601.38999999998</v>
      </c>
      <c r="G31" s="5">
        <v>253385.80000000002</v>
      </c>
      <c r="H31" s="5">
        <v>259409.75999999998</v>
      </c>
      <c r="I31" s="5">
        <v>263694.88</v>
      </c>
      <c r="J31" s="5">
        <v>268937.04000000004</v>
      </c>
      <c r="K31" s="5">
        <v>282021.99000000005</v>
      </c>
      <c r="L31" s="5">
        <v>268250.83</v>
      </c>
      <c r="M31" s="5">
        <v>279213.42</v>
      </c>
      <c r="N31" s="5">
        <v>260034.12639671177</v>
      </c>
      <c r="O31" s="5">
        <v>260034.12639671177</v>
      </c>
      <c r="P31" s="5"/>
    </row>
    <row r="32" spans="1:21" ht="5.0999999999999996" customHeight="1">
      <c r="N32" s="21"/>
      <c r="O32" s="1"/>
      <c r="P32" s="1"/>
    </row>
    <row r="33" spans="1:24">
      <c r="A33" s="16" t="str">
        <f>'Rate Class Energy Model'!H2</f>
        <v xml:space="preserve">Streetlights </v>
      </c>
      <c r="B33" s="16"/>
      <c r="N33" s="5"/>
      <c r="O33" s="1"/>
      <c r="P33" s="1"/>
    </row>
    <row r="34" spans="1:24">
      <c r="A34" t="s">
        <v>47</v>
      </c>
      <c r="C34" s="5">
        <v>2847.5</v>
      </c>
      <c r="D34" s="5">
        <v>2945.5</v>
      </c>
      <c r="E34" s="5">
        <v>3018.5</v>
      </c>
      <c r="F34" s="5">
        <v>3071.5</v>
      </c>
      <c r="G34" s="5">
        <v>3127.6666666666665</v>
      </c>
      <c r="H34" s="5">
        <v>3165</v>
      </c>
      <c r="I34" s="5">
        <v>3230.8333333333335</v>
      </c>
      <c r="J34" s="5">
        <v>3261.8852459016393</v>
      </c>
      <c r="K34" s="5">
        <v>3279.25</v>
      </c>
      <c r="L34" s="5">
        <v>3217.6372549019611</v>
      </c>
      <c r="M34" s="5">
        <v>2891.9519230769233</v>
      </c>
      <c r="N34" s="5">
        <v>2904.6832348918383</v>
      </c>
      <c r="O34" s="5">
        <v>2919.41159236661</v>
      </c>
      <c r="P34" s="5"/>
    </row>
    <row r="35" spans="1:24">
      <c r="A35" t="s">
        <v>44</v>
      </c>
      <c r="C35" s="5">
        <f ca="1">OFFSET('Rate Class Energy Model'!$H$6,COLUMN()-COLUMN($C35),0)</f>
        <v>6418516</v>
      </c>
      <c r="D35" s="5">
        <f ca="1">OFFSET('Rate Class Energy Model'!$H$6,COLUMN()-COLUMN($C35),0)</f>
        <v>6834941</v>
      </c>
      <c r="E35" s="5">
        <f ca="1">OFFSET('Rate Class Energy Model'!$H$6,COLUMN()-COLUMN($C35),0)</f>
        <v>7077824.8700000001</v>
      </c>
      <c r="F35" s="5">
        <f ca="1">OFFSET('Rate Class Energy Model'!$H$6,COLUMN()-COLUMN($C35),0)</f>
        <v>7239934.3099999996</v>
      </c>
      <c r="G35" s="5">
        <f ca="1">OFFSET('Rate Class Energy Model'!$H$6,COLUMN()-COLUMN($C35),0)</f>
        <v>7608033.2626506016</v>
      </c>
      <c r="H35" s="5">
        <f ca="1">OFFSET('Rate Class Energy Model'!$H$6,COLUMN()-COLUMN($C35),0)</f>
        <v>7791989.3204819262</v>
      </c>
      <c r="I35" s="5">
        <f ca="1">OFFSET('Rate Class Energy Model'!$H$6,COLUMN()-COLUMN($C35),0)</f>
        <v>7758774.5638554217</v>
      </c>
      <c r="J35" s="5">
        <f ca="1">OFFSET('Rate Class Energy Model'!$H$6,COLUMN()-COLUMN($C35),0)</f>
        <v>7837155.3349397583</v>
      </c>
      <c r="K35" s="5">
        <f ca="1">OFFSET('Rate Class Energy Model'!$H$6,COLUMN()-COLUMN($C35),0)</f>
        <v>6707353.0024096388</v>
      </c>
      <c r="L35" s="5">
        <f ca="1">OFFSET('Rate Class Energy Model'!$H$6,COLUMN()-COLUMN($C35),0)</f>
        <v>5438441.1759036137</v>
      </c>
      <c r="M35" s="5">
        <f ca="1">OFFSET('Rate Class Energy Model'!$H$6,COLUMN()-COLUMN($C35),0)</f>
        <v>5029763.2289156616</v>
      </c>
      <c r="N35" s="5">
        <f ca="1">OFFSET('Rate Class Energy Model'!$H$6,COLUMN()-COLUMN($C35)+5,0)</f>
        <v>5051905.8805661034</v>
      </c>
      <c r="O35" s="5">
        <f ca="1">OFFSET('Rate Class Energy Model'!$H$6,COLUMN()-COLUMN($C35)+5,0)</f>
        <v>5077521.8495792095</v>
      </c>
      <c r="P35" s="5"/>
    </row>
    <row r="36" spans="1:24">
      <c r="A36" t="s">
        <v>45</v>
      </c>
      <c r="C36" s="5">
        <v>17894</v>
      </c>
      <c r="D36" s="5">
        <v>19000</v>
      </c>
      <c r="E36" s="5">
        <v>19747.59</v>
      </c>
      <c r="F36" s="5">
        <v>20172.63</v>
      </c>
      <c r="G36" s="5">
        <v>21372.33</v>
      </c>
      <c r="H36" s="5">
        <v>21692.510000000002</v>
      </c>
      <c r="I36" s="5">
        <v>21900.93</v>
      </c>
      <c r="J36" s="5">
        <v>21867.030000000002</v>
      </c>
      <c r="K36" s="5">
        <v>18722.650000000001</v>
      </c>
      <c r="L36" s="5">
        <v>15143.04</v>
      </c>
      <c r="M36" s="5">
        <v>14018.58</v>
      </c>
      <c r="N36" s="5">
        <v>14107.530688567846</v>
      </c>
      <c r="O36" s="5">
        <v>14179.063705514967</v>
      </c>
      <c r="P36" s="5"/>
    </row>
    <row r="37" spans="1:24" ht="5.0999999999999996" customHeight="1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"/>
      <c r="P37" s="1"/>
    </row>
    <row r="38" spans="1:24">
      <c r="A38" s="16" t="str">
        <f>'Rate Class Energy Model'!I2</f>
        <v>Sentinel Lights</v>
      </c>
      <c r="B38" s="16"/>
      <c r="N38" s="5"/>
      <c r="O38" s="1"/>
      <c r="P38" s="1"/>
    </row>
    <row r="39" spans="1:24">
      <c r="A39" t="s">
        <v>47</v>
      </c>
      <c r="C39" s="5">
        <v>265.5</v>
      </c>
      <c r="D39" s="5">
        <v>265</v>
      </c>
      <c r="E39" s="5">
        <v>260.5</v>
      </c>
      <c r="F39" s="5">
        <v>253.5</v>
      </c>
      <c r="G39" s="5">
        <v>249.47058823529406</v>
      </c>
      <c r="H39" s="5">
        <v>246.64705882352919</v>
      </c>
      <c r="I39" s="5">
        <v>243.82352941176433</v>
      </c>
      <c r="J39" s="5">
        <v>240.99999999999946</v>
      </c>
      <c r="K39" s="5">
        <v>238.17647058823459</v>
      </c>
      <c r="L39" s="5">
        <v>235.88235294117598</v>
      </c>
      <c r="M39" s="5">
        <v>237</v>
      </c>
      <c r="N39" s="5">
        <v>234.07753306777536</v>
      </c>
      <c r="O39" s="5">
        <v>231.19110332107795</v>
      </c>
      <c r="P39" s="5"/>
    </row>
    <row r="40" spans="1:24">
      <c r="A40" t="s">
        <v>44</v>
      </c>
      <c r="C40" s="5">
        <f ca="1">OFFSET('Rate Class Energy Model'!$I$6,COLUMN()-COLUMN($C40),0)</f>
        <v>158082</v>
      </c>
      <c r="D40" s="5">
        <f ca="1">OFFSET('Rate Class Energy Model'!$I$6,COLUMN()-COLUMN($C40),0)</f>
        <v>155804</v>
      </c>
      <c r="E40" s="5">
        <f ca="1">OFFSET('Rate Class Energy Model'!$I$6,COLUMN()-COLUMN($C40),0)</f>
        <v>153123.74</v>
      </c>
      <c r="F40" s="5">
        <f ca="1">OFFSET('Rate Class Energy Model'!$I$6,COLUMN()-COLUMN($C40),0)</f>
        <v>151002.67000000001</v>
      </c>
      <c r="G40" s="5">
        <f ca="1">OFFSET('Rate Class Energy Model'!$I$6,COLUMN()-COLUMN($C40),0)</f>
        <v>145491.2470588235</v>
      </c>
      <c r="H40" s="5">
        <f ca="1">OFFSET('Rate Class Energy Model'!$I$6,COLUMN()-COLUMN($C40),0)</f>
        <v>143844.56470588219</v>
      </c>
      <c r="I40" s="5">
        <f ca="1">OFFSET('Rate Class Energy Model'!$I$6,COLUMN()-COLUMN($C40),0)</f>
        <v>142197.88235294091</v>
      </c>
      <c r="J40" s="5">
        <f ca="1">OFFSET('Rate Class Energy Model'!$I$6,COLUMN()-COLUMN($C40),0)</f>
        <v>140551.19999999966</v>
      </c>
      <c r="K40" s="5">
        <f ca="1">OFFSET('Rate Class Energy Model'!$I$6,COLUMN()-COLUMN($C40),0)</f>
        <v>138904.51764705841</v>
      </c>
      <c r="L40" s="5">
        <f ca="1">OFFSET('Rate Class Energy Model'!$I$6,COLUMN()-COLUMN($C40),0)</f>
        <v>137566.58823529384</v>
      </c>
      <c r="M40" s="5">
        <f ca="1">OFFSET('Rate Class Energy Model'!$I$6,COLUMN()-COLUMN($C40),0)</f>
        <v>138218.4</v>
      </c>
      <c r="N40" s="5">
        <f ca="1">OFFSET('Rate Class Energy Model'!$I$6,COLUMN()-COLUMN($C40)+5,0)</f>
        <v>136514.01728512658</v>
      </c>
      <c r="O40" s="5">
        <f ca="1">OFFSET('Rate Class Energy Model'!$I$6,COLUMN()-COLUMN($C40)+5,0)</f>
        <v>134830.65145685265</v>
      </c>
      <c r="P40" s="5"/>
    </row>
    <row r="41" spans="1:24">
      <c r="A41" t="s">
        <v>45</v>
      </c>
      <c r="C41" s="5">
        <v>439.11666666666667</v>
      </c>
      <c r="D41" s="5">
        <v>412.7016666666666</v>
      </c>
      <c r="E41" s="5">
        <v>425.3437222222222</v>
      </c>
      <c r="F41" s="5">
        <v>419.45277777777801</v>
      </c>
      <c r="G41" s="5">
        <v>416.29602359208536</v>
      </c>
      <c r="H41" s="5">
        <v>410.46816971080676</v>
      </c>
      <c r="I41" s="5">
        <v>404.64031582952799</v>
      </c>
      <c r="J41" s="5">
        <v>398.81246194824945</v>
      </c>
      <c r="K41" s="5">
        <v>392.98460806697074</v>
      </c>
      <c r="L41" s="5">
        <v>387.15675418569214</v>
      </c>
      <c r="M41" s="5">
        <v>384</v>
      </c>
      <c r="N41" s="5">
        <v>382.56216070109389</v>
      </c>
      <c r="O41" s="5">
        <v>377.84475452316417</v>
      </c>
      <c r="P41" s="5"/>
    </row>
    <row r="42" spans="1:24" ht="5.0999999999999996" customHeight="1">
      <c r="N42" s="1"/>
      <c r="O42" s="1"/>
      <c r="P42" s="1"/>
    </row>
    <row r="43" spans="1:24">
      <c r="A43" s="16" t="str">
        <f>'Rate Class Energy Model'!J2</f>
        <v xml:space="preserve">Unmetered Loads </v>
      </c>
      <c r="B43" s="16"/>
      <c r="N43" s="1"/>
      <c r="O43" s="1"/>
      <c r="P43" s="1"/>
    </row>
    <row r="44" spans="1:24">
      <c r="A44" t="s">
        <v>47</v>
      </c>
      <c r="C44" s="5">
        <v>185.5</v>
      </c>
      <c r="D44" s="5">
        <v>189.5</v>
      </c>
      <c r="E44" s="5">
        <v>192</v>
      </c>
      <c r="F44" s="5">
        <v>190.5</v>
      </c>
      <c r="G44" s="5">
        <v>207.16666666666666</v>
      </c>
      <c r="H44" s="5">
        <v>222.41666666666666</v>
      </c>
      <c r="I44" s="5">
        <v>215.58333333333334</v>
      </c>
      <c r="J44" s="5">
        <v>219.08333333333334</v>
      </c>
      <c r="K44" s="5">
        <v>216.66666666666666</v>
      </c>
      <c r="L44" s="5">
        <v>215.75</v>
      </c>
      <c r="M44" s="5">
        <v>216.41666666666666</v>
      </c>
      <c r="N44" s="5">
        <v>219.59999999999994</v>
      </c>
      <c r="O44" s="5">
        <v>222.86475388975543</v>
      </c>
      <c r="P44" s="5"/>
    </row>
    <row r="45" spans="1:24">
      <c r="A45" t="s">
        <v>44</v>
      </c>
      <c r="C45" s="5">
        <f ca="1">OFFSET('Rate Class Energy Model'!$J$6,COLUMN()-COLUMN($C45),0)</f>
        <v>1298941</v>
      </c>
      <c r="D45" s="5">
        <f ca="1">OFFSET('Rate Class Energy Model'!$J$6,COLUMN()-COLUMN($C45),0)</f>
        <v>1328091</v>
      </c>
      <c r="E45" s="5">
        <f ca="1">OFFSET('Rate Class Energy Model'!$J$6,COLUMN()-COLUMN($C45),0)</f>
        <v>1336647.2</v>
      </c>
      <c r="F45" s="5">
        <f ca="1">OFFSET('Rate Class Energy Model'!$J$6,COLUMN()-COLUMN($C45),0)</f>
        <v>1339770.73</v>
      </c>
      <c r="G45" s="5">
        <f ca="1">OFFSET('Rate Class Energy Model'!$J$6,COLUMN()-COLUMN($C45),0)</f>
        <v>1010917</v>
      </c>
      <c r="H45" s="5">
        <f ca="1">OFFSET('Rate Class Energy Model'!$J$6,COLUMN()-COLUMN($C45),0)</f>
        <v>1100097.1662650602</v>
      </c>
      <c r="I45" s="5">
        <f ca="1">OFFSET('Rate Class Energy Model'!$J$6,COLUMN()-COLUMN($C45),0)</f>
        <v>1101315.643373494</v>
      </c>
      <c r="J45" s="5">
        <f ca="1">OFFSET('Rate Class Energy Model'!$J$6,COLUMN()-COLUMN($C45),0)</f>
        <v>1092305.8698795179</v>
      </c>
      <c r="K45" s="5">
        <f ca="1">OFFSET('Rate Class Energy Model'!$J$6,COLUMN()-COLUMN($C45),0)</f>
        <v>1062717.8120481926</v>
      </c>
      <c r="L45" s="5">
        <f ca="1">OFFSET('Rate Class Energy Model'!$J$6,COLUMN()-COLUMN($C45),0)</f>
        <v>1061266.6602409636</v>
      </c>
      <c r="M45" s="5">
        <f ca="1">OFFSET('Rate Class Energy Model'!$J$6,COLUMN()-COLUMN($C45),0)</f>
        <v>1036897.1373493974</v>
      </c>
      <c r="N45" s="5">
        <f ca="1">OFFSET('Rate Class Energy Model'!$J$6,COLUMN()-COLUMN($C45)+5,0)</f>
        <v>1052149.1476099852</v>
      </c>
      <c r="O45" s="5">
        <f ca="1">OFFSET('Rate Class Energy Model'!$J$6,COLUMN()-COLUMN($C45)+5,0)</f>
        <v>1067791.2606439681</v>
      </c>
      <c r="P45" s="5"/>
    </row>
    <row r="46" spans="1:24" ht="5.0999999999999996" customHeight="1">
      <c r="N46" s="5"/>
      <c r="O46" s="1"/>
      <c r="P46" s="1"/>
    </row>
    <row r="47" spans="1:24">
      <c r="A47" s="16" t="s">
        <v>48</v>
      </c>
      <c r="B47" s="16"/>
      <c r="C47" s="5"/>
      <c r="D47" s="5"/>
      <c r="E47" s="5"/>
      <c r="F47" s="5"/>
      <c r="G47" s="5"/>
      <c r="H47" s="5"/>
      <c r="J47" s="5"/>
      <c r="K47" s="5"/>
      <c r="L47" s="5"/>
      <c r="M47" s="5"/>
      <c r="N47" s="1"/>
      <c r="O47" s="1"/>
      <c r="P47" s="1"/>
      <c r="X47" s="10"/>
    </row>
    <row r="48" spans="1:24">
      <c r="A48" t="s">
        <v>49</v>
      </c>
      <c r="C48" s="5">
        <f t="shared" ref="C48:E49" si="2">C11+C15+C19+C24+C29+C34+C39+C44</f>
        <v>33032.25</v>
      </c>
      <c r="D48" s="5">
        <f t="shared" si="2"/>
        <v>34924.75</v>
      </c>
      <c r="E48" s="5">
        <f t="shared" si="2"/>
        <v>36946</v>
      </c>
      <c r="F48" s="5">
        <f t="shared" ref="F48:K48" si="3">F11+F15+F19+F24+F29+F34+F39+F44</f>
        <v>38026.5</v>
      </c>
      <c r="G48" s="5">
        <f t="shared" si="3"/>
        <v>39159.887254901958</v>
      </c>
      <c r="H48" s="5">
        <f t="shared" si="3"/>
        <v>40084.063725490189</v>
      </c>
      <c r="I48" s="5">
        <f t="shared" si="3"/>
        <v>41017.073529411769</v>
      </c>
      <c r="J48" s="5">
        <f t="shared" si="3"/>
        <v>42550.885245901634</v>
      </c>
      <c r="K48" s="5">
        <f t="shared" si="3"/>
        <v>43786.259803921566</v>
      </c>
      <c r="L48" s="5">
        <f t="shared" ref="L48:O48" si="4">L11+L15+L19+L24+L29+L34+L39+L44</f>
        <v>44470.436274509797</v>
      </c>
      <c r="M48" s="5">
        <f t="shared" si="4"/>
        <v>45073.868589743586</v>
      </c>
      <c r="N48" s="5">
        <f t="shared" si="4"/>
        <v>45878.403797661922</v>
      </c>
      <c r="O48" s="5">
        <f t="shared" si="4"/>
        <v>46809.761348437176</v>
      </c>
      <c r="P48" s="5"/>
    </row>
    <row r="49" spans="1:16">
      <c r="A49" t="s">
        <v>44</v>
      </c>
      <c r="C49" s="5">
        <f t="shared" ca="1" si="2"/>
        <v>754466669.81999993</v>
      </c>
      <c r="D49" s="5">
        <f t="shared" ca="1" si="2"/>
        <v>783449113.69999993</v>
      </c>
      <c r="E49" s="5">
        <f t="shared" ca="1" si="2"/>
        <v>814644301.5</v>
      </c>
      <c r="F49" s="5">
        <f t="shared" ref="F49:K49" ca="1" si="5">F12+F16+F20+F25+F30+F35+F40+F45</f>
        <v>836470876.05999994</v>
      </c>
      <c r="G49" s="5">
        <f t="shared" ca="1" si="5"/>
        <v>848069009.06884122</v>
      </c>
      <c r="H49" s="5">
        <f t="shared" ca="1" si="5"/>
        <v>873235927.80642521</v>
      </c>
      <c r="I49" s="5">
        <f t="shared" ca="1" si="5"/>
        <v>859270211.18686926</v>
      </c>
      <c r="J49" s="5">
        <f t="shared" ca="1" si="5"/>
        <v>909512508.6674726</v>
      </c>
      <c r="K49" s="5">
        <f t="shared" ca="1" si="5"/>
        <v>907143690.21844316</v>
      </c>
      <c r="L49" s="5">
        <f t="shared" ref="L49:O49" ca="1" si="6">L12+L16+L20+L25+L30+L35+L40+L45</f>
        <v>907891652.55668497</v>
      </c>
      <c r="M49" s="5">
        <f t="shared" ca="1" si="6"/>
        <v>936433540.89398074</v>
      </c>
      <c r="N49" s="5">
        <f t="shared" ca="1" si="6"/>
        <v>887360935.22092271</v>
      </c>
      <c r="O49" s="5">
        <f t="shared" ca="1" si="6"/>
        <v>906723877.55263937</v>
      </c>
      <c r="P49" s="5"/>
    </row>
    <row r="50" spans="1:16">
      <c r="A50" t="s">
        <v>50</v>
      </c>
      <c r="C50" s="5">
        <f>C21+C26+C31+C36+C41</f>
        <v>957921.1166666667</v>
      </c>
      <c r="D50" s="5">
        <f>D21+D26+D31+D36+D41</f>
        <v>1007362.0116666667</v>
      </c>
      <c r="E50" s="5">
        <f>E21+E26+E31+E36+E41</f>
        <v>1041359.1837222221</v>
      </c>
      <c r="F50" s="5">
        <f t="shared" ref="F50:K50" si="7">F21+F26+F31+F36+F41</f>
        <v>1053712.8527777777</v>
      </c>
      <c r="G50" s="5">
        <f t="shared" si="7"/>
        <v>1083293.4160235922</v>
      </c>
      <c r="H50" s="5">
        <f t="shared" si="7"/>
        <v>1111847.8481697107</v>
      </c>
      <c r="I50" s="5">
        <f t="shared" si="7"/>
        <v>1143240.5703158295</v>
      </c>
      <c r="J50" s="5">
        <f t="shared" si="7"/>
        <v>1179259.3724619483</v>
      </c>
      <c r="K50" s="5">
        <f t="shared" si="7"/>
        <v>1189173.3746080669</v>
      </c>
      <c r="L50" s="5">
        <f t="shared" ref="L50:O50" si="8">L21+L26+L31+L36+L41</f>
        <v>1129291.8767541857</v>
      </c>
      <c r="M50" s="5">
        <f t="shared" si="8"/>
        <v>1140072.99</v>
      </c>
      <c r="N50" s="5">
        <f t="shared" si="8"/>
        <v>1069996.3024513521</v>
      </c>
      <c r="O50" s="5">
        <f t="shared" si="8"/>
        <v>1095420.5526338294</v>
      </c>
      <c r="P50" s="5"/>
    </row>
    <row r="51" spans="1:16" ht="5.0999999999999996" customHeight="1">
      <c r="N51" s="1"/>
      <c r="O51" s="1"/>
      <c r="P51" s="1"/>
    </row>
    <row r="52" spans="1:16">
      <c r="A52" s="16" t="s">
        <v>51</v>
      </c>
      <c r="B52" s="16"/>
      <c r="N52" s="5"/>
      <c r="O52" s="1"/>
      <c r="P52" s="1"/>
    </row>
    <row r="53" spans="1:16">
      <c r="A53" t="s">
        <v>49</v>
      </c>
      <c r="C53" s="5">
        <v>33032.25</v>
      </c>
      <c r="D53" s="5">
        <v>34924.75</v>
      </c>
      <c r="E53" s="5">
        <v>36946</v>
      </c>
      <c r="F53" s="5">
        <v>38026.5</v>
      </c>
      <c r="G53" s="5">
        <v>39159.887254901958</v>
      </c>
      <c r="H53" s="5">
        <v>40084.063725490189</v>
      </c>
      <c r="I53" s="5">
        <v>41017.073529411769</v>
      </c>
      <c r="J53" s="5">
        <v>42550.885245901634</v>
      </c>
      <c r="K53" s="5">
        <v>43786.259803921566</v>
      </c>
      <c r="L53" s="5">
        <v>44470.436274509797</v>
      </c>
      <c r="M53" s="5">
        <v>45073.868589743586</v>
      </c>
      <c r="N53" s="5">
        <v>45878.403797661922</v>
      </c>
      <c r="O53" s="5">
        <v>46809.761348437176</v>
      </c>
      <c r="P53" s="5"/>
    </row>
    <row r="54" spans="1:16">
      <c r="A54" t="s">
        <v>44</v>
      </c>
      <c r="C54" s="5">
        <f ca="1">OFFSET('Rate Class Energy Model'!$B$6,COLUMN()-COLUMN($C54),0)</f>
        <v>754466669.81999993</v>
      </c>
      <c r="D54" s="5">
        <f ca="1">OFFSET('Rate Class Energy Model'!$B$6,COLUMN()-COLUMN($C54),0)</f>
        <v>783449113.69999993</v>
      </c>
      <c r="E54" s="5">
        <f ca="1">OFFSET('Rate Class Energy Model'!$B$6,COLUMN()-COLUMN($C54),0)</f>
        <v>814644301.5</v>
      </c>
      <c r="F54" s="5">
        <f ca="1">OFFSET('Rate Class Energy Model'!$B$6,COLUMN()-COLUMN($C54),0)</f>
        <v>836470876.05999994</v>
      </c>
      <c r="G54" s="5">
        <f ca="1">OFFSET('Rate Class Energy Model'!$B$6,COLUMN()-COLUMN($C54),0)</f>
        <v>848069009.06884122</v>
      </c>
      <c r="H54" s="5">
        <f ca="1">OFFSET('Rate Class Energy Model'!$B$6,COLUMN()-COLUMN($C54),0)</f>
        <v>873235927.80642521</v>
      </c>
      <c r="I54" s="5">
        <f ca="1">OFFSET('Rate Class Energy Model'!$B$6,COLUMN()-COLUMN($C54),0)</f>
        <v>859270211.18686926</v>
      </c>
      <c r="J54" s="5">
        <f ca="1">OFFSET('Rate Class Energy Model'!$B$6,COLUMN()-COLUMN($C54),0)</f>
        <v>909512508.6674726</v>
      </c>
      <c r="K54" s="5">
        <f ca="1">OFFSET('Rate Class Energy Model'!$B$6,COLUMN()-COLUMN($C54),0)</f>
        <v>907143690.21844316</v>
      </c>
      <c r="L54" s="5">
        <f ca="1">OFFSET('Rate Class Energy Model'!$B$6,COLUMN()-COLUMN($C54),0)</f>
        <v>907891652.55668497</v>
      </c>
      <c r="M54" s="5">
        <f ca="1">OFFSET('Rate Class Energy Model'!$B$6,COLUMN()-COLUMN($C54),0)</f>
        <v>936433540.89398074</v>
      </c>
      <c r="N54" s="5">
        <f ca="1">OFFSET('Rate Class Energy Model'!$B$6,COLUMN()-COLUMN($C54)+5,0)</f>
        <v>887360935.22092271</v>
      </c>
      <c r="O54" s="5">
        <f ca="1">OFFSET('Rate Class Energy Model'!$B$6,COLUMN()-COLUMN($C54)+5,0)</f>
        <v>906723877.55263937</v>
      </c>
      <c r="P54" s="5"/>
    </row>
    <row r="55" spans="1:16">
      <c r="A55" t="s">
        <v>50</v>
      </c>
      <c r="C55" s="5">
        <v>957921.1166666667</v>
      </c>
      <c r="D55" s="5">
        <v>1007362.0116666667</v>
      </c>
      <c r="E55" s="5">
        <v>1041359.1837222221</v>
      </c>
      <c r="F55" s="5">
        <v>1053712.8527777777</v>
      </c>
      <c r="G55" s="5">
        <v>1083293.4160235922</v>
      </c>
      <c r="H55" s="5">
        <v>1111847.8481697107</v>
      </c>
      <c r="I55" s="5">
        <v>1143240.5703158295</v>
      </c>
      <c r="J55" s="5">
        <v>1179259.3724619483</v>
      </c>
      <c r="K55" s="5">
        <v>1189173.3746080669</v>
      </c>
      <c r="L55" s="5">
        <v>1129291.8767541857</v>
      </c>
      <c r="M55" s="5">
        <v>1140072.99</v>
      </c>
      <c r="N55" s="5">
        <v>1069996.3024513521</v>
      </c>
      <c r="O55" s="5">
        <v>1095420.5526338294</v>
      </c>
      <c r="P55" s="5"/>
    </row>
    <row r="56" spans="1:16" ht="5.0999999999999996" customHeight="1">
      <c r="N56" s="1"/>
      <c r="O56" s="1"/>
      <c r="P56" s="1"/>
    </row>
    <row r="57" spans="1:16" ht="12.75" customHeight="1">
      <c r="N57" s="1"/>
      <c r="O57" s="1"/>
      <c r="P57" s="1"/>
    </row>
    <row r="58" spans="1:16">
      <c r="A58" s="16" t="s">
        <v>52</v>
      </c>
      <c r="B58" s="16"/>
      <c r="E58" s="5"/>
      <c r="F58" s="5"/>
      <c r="G58" s="5"/>
      <c r="H58" s="5"/>
      <c r="I58" s="5"/>
      <c r="J58" s="5"/>
      <c r="K58" s="5"/>
      <c r="L58" s="5"/>
      <c r="M58" s="5"/>
      <c r="N58" s="5"/>
      <c r="O58" s="1"/>
    </row>
    <row r="59" spans="1:16">
      <c r="A59" t="s">
        <v>49</v>
      </c>
      <c r="C59" s="5">
        <f>C48-C53</f>
        <v>0</v>
      </c>
      <c r="D59" s="5">
        <f>D48-D53</f>
        <v>0</v>
      </c>
      <c r="E59" s="5">
        <f>E48-E53</f>
        <v>0</v>
      </c>
      <c r="F59" s="5">
        <f t="shared" ref="F59:K59" si="9">F48-F53</f>
        <v>0</v>
      </c>
      <c r="G59" s="5">
        <f t="shared" si="9"/>
        <v>0</v>
      </c>
      <c r="H59" s="5">
        <f t="shared" si="9"/>
        <v>0</v>
      </c>
      <c r="I59" s="5">
        <f t="shared" si="9"/>
        <v>0</v>
      </c>
      <c r="J59" s="5">
        <f t="shared" si="9"/>
        <v>0</v>
      </c>
      <c r="K59" s="5">
        <f t="shared" si="9"/>
        <v>0</v>
      </c>
      <c r="L59" s="5">
        <f>L48-L53</f>
        <v>0</v>
      </c>
      <c r="M59" s="5">
        <f>M48-M53</f>
        <v>0</v>
      </c>
      <c r="N59" s="5">
        <f>N48-N53</f>
        <v>0</v>
      </c>
      <c r="O59" s="5">
        <f>O48-O53</f>
        <v>0</v>
      </c>
    </row>
    <row r="60" spans="1:16">
      <c r="A60" t="s">
        <v>44</v>
      </c>
      <c r="C60" s="5">
        <f ca="1">C49-C54</f>
        <v>0</v>
      </c>
      <c r="D60" s="5">
        <f ca="1">D49-D54</f>
        <v>0</v>
      </c>
      <c r="E60" s="5">
        <f t="shared" ref="E60:K61" ca="1" si="10">E49-E54</f>
        <v>0</v>
      </c>
      <c r="F60" s="5">
        <f t="shared" ca="1" si="10"/>
        <v>0</v>
      </c>
      <c r="G60" s="5">
        <f t="shared" ca="1" si="10"/>
        <v>0</v>
      </c>
      <c r="H60" s="5">
        <f t="shared" ca="1" si="10"/>
        <v>0</v>
      </c>
      <c r="I60" s="5">
        <f t="shared" ca="1" si="10"/>
        <v>0</v>
      </c>
      <c r="J60" s="5">
        <f t="shared" ca="1" si="10"/>
        <v>0</v>
      </c>
      <c r="K60" s="5">
        <f t="shared" ca="1" si="10"/>
        <v>0</v>
      </c>
      <c r="L60" s="5">
        <f t="shared" ref="L60:O60" ca="1" si="11">L49-L54</f>
        <v>0</v>
      </c>
      <c r="M60" s="5">
        <f t="shared" ca="1" si="11"/>
        <v>0</v>
      </c>
      <c r="N60" s="5">
        <f t="shared" ca="1" si="11"/>
        <v>0</v>
      </c>
      <c r="O60" s="5">
        <f t="shared" ca="1" si="11"/>
        <v>0</v>
      </c>
    </row>
    <row r="61" spans="1:16">
      <c r="A61" t="s">
        <v>50</v>
      </c>
      <c r="C61" s="5">
        <f>C50-C55</f>
        <v>0</v>
      </c>
      <c r="D61" s="5">
        <f>D50-D55</f>
        <v>0</v>
      </c>
      <c r="E61" s="5">
        <f t="shared" si="10"/>
        <v>0</v>
      </c>
      <c r="F61" s="5">
        <f t="shared" si="10"/>
        <v>0</v>
      </c>
      <c r="G61" s="5">
        <f t="shared" si="10"/>
        <v>0</v>
      </c>
      <c r="H61" s="5">
        <f t="shared" si="10"/>
        <v>0</v>
      </c>
      <c r="I61" s="5">
        <f t="shared" si="10"/>
        <v>0</v>
      </c>
      <c r="J61" s="5">
        <f t="shared" si="10"/>
        <v>0</v>
      </c>
      <c r="K61" s="5">
        <f t="shared" si="10"/>
        <v>0</v>
      </c>
      <c r="L61" s="5">
        <f t="shared" ref="L61:O61" si="12">L50-L55</f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</row>
    <row r="62" spans="1:16">
      <c r="N62" s="1"/>
      <c r="O62" s="1"/>
    </row>
    <row r="63" spans="1:16">
      <c r="A63" t="s">
        <v>53</v>
      </c>
      <c r="C63" s="23">
        <f t="shared" ref="C63:O63" si="13">+C11+C15+C19+C24+C29</f>
        <v>29733.75</v>
      </c>
      <c r="D63" s="23">
        <f t="shared" si="13"/>
        <v>31524.75</v>
      </c>
      <c r="E63" s="23">
        <f t="shared" si="13"/>
        <v>33475</v>
      </c>
      <c r="F63" s="23">
        <f>+F11+F15+F19+F24+F29</f>
        <v>34511</v>
      </c>
      <c r="G63" s="23">
        <f t="shared" si="13"/>
        <v>35575.583333333336</v>
      </c>
      <c r="H63" s="23">
        <f t="shared" si="13"/>
        <v>36449.999999999993</v>
      </c>
      <c r="I63" s="23">
        <f t="shared" si="13"/>
        <v>37326.833333333336</v>
      </c>
      <c r="J63" s="23">
        <f t="shared" si="13"/>
        <v>38828.916666666657</v>
      </c>
      <c r="K63" s="23">
        <f t="shared" si="13"/>
        <v>40052.166666666664</v>
      </c>
      <c r="L63" s="23">
        <f>+L11+L15+L19+L24+L29</f>
        <v>40801.166666666664</v>
      </c>
      <c r="M63" s="23">
        <f t="shared" si="13"/>
        <v>41728.5</v>
      </c>
      <c r="N63" s="23">
        <f t="shared" si="13"/>
        <v>42520.043029702305</v>
      </c>
      <c r="O63" s="23">
        <f t="shared" si="13"/>
        <v>43436.293898859731</v>
      </c>
    </row>
    <row r="64" spans="1:16">
      <c r="F64" s="23">
        <f>F63+F44+F39+3-35</f>
        <v>34923</v>
      </c>
      <c r="G64" s="23">
        <f t="shared" ref="G64:K64" si="14">G63+G44+G39+3-35</f>
        <v>36000.220588235294</v>
      </c>
      <c r="H64" s="23">
        <f t="shared" si="14"/>
        <v>36887.063725490189</v>
      </c>
      <c r="I64" s="23">
        <f t="shared" si="14"/>
        <v>37754.240196078434</v>
      </c>
      <c r="J64" s="23">
        <f t="shared" si="14"/>
        <v>39256.999999999993</v>
      </c>
      <c r="K64" s="23">
        <f t="shared" si="14"/>
        <v>40475.009803921566</v>
      </c>
      <c r="L64" s="23">
        <f>L63+L44+L39+3-35</f>
        <v>41220.799019607839</v>
      </c>
      <c r="M64" s="23">
        <f>M63+M44+M39+3-36</f>
        <v>42148.916666666664</v>
      </c>
      <c r="N64" s="23">
        <f>N63+N44+N39+3-37</f>
        <v>42939.720562770082</v>
      </c>
      <c r="O64" s="23">
        <f>O63+O44+O39+3-37</f>
        <v>43856.349756070565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scale="55" orientation="landscape" r:id="rId1"/>
  <headerFooter alignWithMargins="0">
    <oddHeader>&amp;L&amp;D&amp;F</oddHeader>
    <oddFooter>&amp;L&amp;Z&amp;F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F00A-AA55-4B09-B7D3-73D887039FF0}">
  <sheetPr>
    <tabColor theme="3" tint="0.79998168889431442"/>
  </sheetPr>
  <dimension ref="A1:AY190"/>
  <sheetViews>
    <sheetView zoomScale="80" zoomScaleNormal="80" workbookViewId="0">
      <pane xSplit="1" ySplit="2" topLeftCell="P3" activePane="bottomRight" state="frozen"/>
      <selection activeCell="AE64" sqref="AE64"/>
      <selection pane="topRight" activeCell="AE64" sqref="AE64"/>
      <selection pane="bottomLeft" activeCell="AE64" sqref="AE64"/>
      <selection pane="bottomRight" activeCell="U3" sqref="U3:AF24"/>
    </sheetView>
  </sheetViews>
  <sheetFormatPr defaultRowHeight="12.75"/>
  <cols>
    <col min="1" max="3" width="11.85546875" customWidth="1"/>
    <col min="4" max="4" width="14.140625" customWidth="1"/>
    <col min="5" max="5" width="14.7109375" customWidth="1"/>
    <col min="6" max="6" width="13" style="5" bestFit="1" customWidth="1"/>
    <col min="7" max="7" width="13" style="1" customWidth="1"/>
    <col min="8" max="10" width="12.85546875" style="1" customWidth="1"/>
    <col min="11" max="11" width="15.42578125" style="1" customWidth="1"/>
    <col min="12" max="13" width="8" style="1" customWidth="1"/>
    <col min="14" max="14" width="13.5703125" style="42" bestFit="1" customWidth="1"/>
    <col min="15" max="15" width="13.140625" style="1" customWidth="1"/>
    <col min="16" max="16" width="14.7109375" style="1" customWidth="1"/>
    <col min="17" max="17" width="19.42578125" style="1" bestFit="1" customWidth="1"/>
    <col min="18" max="18" width="14.5703125" style="1" customWidth="1"/>
    <col min="19" max="19" width="15.140625" style="1" bestFit="1" customWidth="1"/>
    <col min="20" max="20" width="12.42578125" style="1" customWidth="1"/>
    <col min="21" max="21" width="22.42578125" bestFit="1" customWidth="1"/>
    <col min="22" max="22" width="17.7109375" customWidth="1"/>
    <col min="23" max="23" width="18.85546875" bestFit="1" customWidth="1"/>
    <col min="24" max="24" width="13.7109375" bestFit="1" customWidth="1"/>
    <col min="25" max="25" width="13" bestFit="1" customWidth="1"/>
    <col min="26" max="26" width="14.85546875" bestFit="1" customWidth="1"/>
    <col min="27" max="29" width="13.7109375" bestFit="1" customWidth="1"/>
    <col min="30" max="31" width="13" bestFit="1" customWidth="1"/>
    <col min="32" max="32" width="12.28515625" bestFit="1" customWidth="1"/>
    <col min="33" max="34" width="12.28515625" style="5" bestFit="1" customWidth="1"/>
    <col min="35" max="41" width="12.7109375" style="5" customWidth="1"/>
    <col min="42" max="51" width="12.7109375" customWidth="1"/>
  </cols>
  <sheetData>
    <row r="1" spans="1:47" ht="20.25" customHeight="1">
      <c r="A1" s="94" t="s">
        <v>96</v>
      </c>
      <c r="B1" s="94"/>
      <c r="C1" s="94"/>
      <c r="D1" s="94"/>
      <c r="E1" s="94"/>
      <c r="F1" s="94"/>
    </row>
    <row r="2" spans="1:47" ht="42" customHeight="1">
      <c r="D2" s="22" t="s">
        <v>57</v>
      </c>
      <c r="E2" s="22" t="s">
        <v>58</v>
      </c>
      <c r="F2" s="6" t="s">
        <v>59</v>
      </c>
      <c r="G2" s="63" t="s">
        <v>5</v>
      </c>
      <c r="H2" s="63" t="s">
        <v>6</v>
      </c>
      <c r="I2" s="8" t="s">
        <v>90</v>
      </c>
      <c r="J2" s="8" t="s">
        <v>91</v>
      </c>
      <c r="K2" s="8" t="s">
        <v>60</v>
      </c>
      <c r="L2" s="8" t="s">
        <v>61</v>
      </c>
      <c r="M2" s="8" t="s">
        <v>7</v>
      </c>
      <c r="N2" s="43" t="s">
        <v>62</v>
      </c>
      <c r="O2" s="8" t="s">
        <v>71</v>
      </c>
      <c r="P2" s="8" t="s">
        <v>72</v>
      </c>
      <c r="Q2" s="8" t="s">
        <v>92</v>
      </c>
      <c r="R2" s="8" t="s">
        <v>93</v>
      </c>
      <c r="S2" s="8" t="s">
        <v>65</v>
      </c>
      <c r="T2" s="8" t="s">
        <v>66</v>
      </c>
      <c r="AG2" s="7"/>
      <c r="AH2" s="7"/>
      <c r="AI2" s="7"/>
    </row>
    <row r="3" spans="1:47" ht="12.75" customHeight="1">
      <c r="A3" s="2">
        <v>40544</v>
      </c>
      <c r="B3">
        <f>YEAR(A3)</f>
        <v>2011</v>
      </c>
      <c r="C3">
        <f>MONTH(A3)</f>
        <v>1</v>
      </c>
      <c r="D3" s="69">
        <v>23710157.339999959</v>
      </c>
      <c r="E3" s="69">
        <v>23207.745325324893</v>
      </c>
      <c r="F3" s="69">
        <v>23733365.085325282</v>
      </c>
      <c r="G3" s="63">
        <v>713.3</v>
      </c>
      <c r="H3" s="63">
        <v>0</v>
      </c>
      <c r="I3" s="66">
        <f t="shared" ref="I3:J3" si="0">I15</f>
        <v>625.5</v>
      </c>
      <c r="J3" s="66">
        <f t="shared" si="0"/>
        <v>0</v>
      </c>
      <c r="K3" s="25">
        <v>31</v>
      </c>
      <c r="L3" s="25">
        <v>0</v>
      </c>
      <c r="M3" s="25">
        <v>0</v>
      </c>
      <c r="N3" s="30">
        <v>26615</v>
      </c>
      <c r="O3" s="87">
        <v>0</v>
      </c>
      <c r="P3" s="59">
        <v>0</v>
      </c>
      <c r="Q3" s="25">
        <f>F3+(I3-G3)*$V$11+(J3-H3)*$V$12</f>
        <v>19156313.00715657</v>
      </c>
      <c r="R3" s="65">
        <f>Q3-E3</f>
        <v>19133105.261831246</v>
      </c>
      <c r="S3" s="25">
        <f>+Q3-F3</f>
        <v>-4577052.0781687126</v>
      </c>
      <c r="T3" s="38">
        <f>ABS(S3/F3)</f>
        <v>0.19285305988904106</v>
      </c>
      <c r="AB3" s="22" t="s">
        <v>100</v>
      </c>
      <c r="AG3"/>
      <c r="AH3" s="29"/>
      <c r="AI3" s="48"/>
      <c r="AJ3" s="39"/>
      <c r="AK3" s="56"/>
      <c r="AL3" s="56"/>
      <c r="AM3" s="78"/>
      <c r="AN3" s="56"/>
      <c r="AO3" s="56"/>
      <c r="AP3" s="75"/>
      <c r="AQ3" s="78"/>
      <c r="AR3" s="50"/>
      <c r="AS3" s="50"/>
      <c r="AT3" s="5"/>
    </row>
    <row r="4" spans="1:47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69">
        <v>22287321.790000025</v>
      </c>
      <c r="E4" s="69">
        <v>23207.745325324893</v>
      </c>
      <c r="F4" s="69">
        <v>22310529.535325348</v>
      </c>
      <c r="G4" s="63">
        <v>598.20000000000016</v>
      </c>
      <c r="H4" s="63">
        <v>0</v>
      </c>
      <c r="I4" s="66">
        <f t="shared" ref="I4:J4" si="3">I16</f>
        <v>573.20999999999992</v>
      </c>
      <c r="J4" s="66">
        <f t="shared" si="3"/>
        <v>0</v>
      </c>
      <c r="K4" s="25">
        <v>28</v>
      </c>
      <c r="L4" s="25">
        <v>0</v>
      </c>
      <c r="M4" s="25">
        <v>0</v>
      </c>
      <c r="N4" s="30">
        <v>26654</v>
      </c>
      <c r="O4" s="87">
        <v>0</v>
      </c>
      <c r="P4" s="59">
        <v>0</v>
      </c>
      <c r="Q4" s="25">
        <f>F4+(I4-G4)*$V$11+(J4-H4)*$V$12</f>
        <v>21007789.997359093</v>
      </c>
      <c r="R4" s="65">
        <f t="shared" ref="R4:R67" si="4">Q4-E4</f>
        <v>20984582.25203377</v>
      </c>
      <c r="S4" s="25">
        <f t="shared" ref="S4:S67" si="5">+Q4-F4</f>
        <v>-1302739.5379662551</v>
      </c>
      <c r="T4" s="38">
        <f t="shared" ref="T4:T67" si="6">ABS(S4/F4)</f>
        <v>5.8391242390888311E-2</v>
      </c>
      <c r="U4" t="s">
        <v>98</v>
      </c>
      <c r="Y4" s="64"/>
      <c r="AA4" t="s">
        <v>68</v>
      </c>
      <c r="AE4" s="64"/>
      <c r="AG4"/>
      <c r="AI4" s="56"/>
      <c r="AJ4" s="56"/>
      <c r="AK4" s="56"/>
      <c r="AL4" s="56"/>
      <c r="AM4" s="75"/>
      <c r="AN4" s="79"/>
      <c r="AO4" s="56"/>
      <c r="AP4" s="75"/>
      <c r="AQ4" s="75"/>
      <c r="AR4" s="50"/>
      <c r="AS4" s="50"/>
      <c r="AT4" s="5"/>
    </row>
    <row r="5" spans="1:47">
      <c r="A5" s="2">
        <v>40603</v>
      </c>
      <c r="B5">
        <f t="shared" si="1"/>
        <v>2011</v>
      </c>
      <c r="C5">
        <f t="shared" si="2"/>
        <v>3</v>
      </c>
      <c r="D5" s="69">
        <v>20538303.360000029</v>
      </c>
      <c r="E5" s="69">
        <v>23207.745325324893</v>
      </c>
      <c r="F5" s="69">
        <v>20561511.105325352</v>
      </c>
      <c r="G5" s="63">
        <v>510.79999999999995</v>
      </c>
      <c r="H5" s="63">
        <v>0</v>
      </c>
      <c r="I5" s="66">
        <f t="shared" ref="I5:J5" si="7">I17</f>
        <v>471.05</v>
      </c>
      <c r="J5" s="66">
        <f t="shared" si="7"/>
        <v>0.3</v>
      </c>
      <c r="K5" s="25">
        <v>31</v>
      </c>
      <c r="L5" s="25">
        <v>1</v>
      </c>
      <c r="M5" s="25">
        <v>0</v>
      </c>
      <c r="N5" s="30">
        <v>26750</v>
      </c>
      <c r="O5" s="87">
        <v>0</v>
      </c>
      <c r="P5" s="59">
        <v>0</v>
      </c>
      <c r="Q5" s="25">
        <f t="shared" ref="Q5:Q36" si="8">F5+(I5-G5)*$V$10+(J5-H5)*$V$11</f>
        <v>20273494.116112106</v>
      </c>
      <c r="R5" s="65">
        <f t="shared" si="4"/>
        <v>20250286.370786782</v>
      </c>
      <c r="S5" s="25">
        <f t="shared" si="5"/>
        <v>-288016.98921324685</v>
      </c>
      <c r="T5" s="38">
        <f t="shared" si="6"/>
        <v>1.4007578904969273E-2</v>
      </c>
      <c r="U5" t="s">
        <v>69</v>
      </c>
      <c r="AA5" t="s">
        <v>69</v>
      </c>
      <c r="AG5"/>
      <c r="AI5" s="56"/>
      <c r="AJ5" s="56"/>
      <c r="AK5" s="56"/>
      <c r="AL5" s="56"/>
      <c r="AM5" s="75"/>
      <c r="AN5" s="79"/>
      <c r="AO5" s="56"/>
      <c r="AP5" s="75"/>
      <c r="AQ5" s="75"/>
      <c r="AR5" s="49"/>
      <c r="AS5" s="50"/>
      <c r="AT5" s="5"/>
    </row>
    <row r="6" spans="1:47" ht="12.75" customHeight="1">
      <c r="A6" s="2">
        <v>40634</v>
      </c>
      <c r="B6">
        <f t="shared" si="1"/>
        <v>2011</v>
      </c>
      <c r="C6">
        <f t="shared" si="2"/>
        <v>4</v>
      </c>
      <c r="D6" s="69">
        <v>18173296.59999999</v>
      </c>
      <c r="E6" s="69">
        <v>23207.745325324893</v>
      </c>
      <c r="F6" s="69">
        <v>18196504.345325314</v>
      </c>
      <c r="G6" s="63">
        <v>272.29999999999995</v>
      </c>
      <c r="H6" s="63">
        <v>0</v>
      </c>
      <c r="I6" s="66">
        <f t="shared" ref="I6:J6" si="9">I18</f>
        <v>285.58000000000004</v>
      </c>
      <c r="J6" s="66">
        <f t="shared" si="9"/>
        <v>0.38999999999999985</v>
      </c>
      <c r="K6" s="25">
        <v>30</v>
      </c>
      <c r="L6" s="25">
        <v>1</v>
      </c>
      <c r="M6" s="25">
        <v>0</v>
      </c>
      <c r="N6" s="30">
        <v>26846</v>
      </c>
      <c r="O6" s="87">
        <v>0</v>
      </c>
      <c r="P6" s="59">
        <v>0</v>
      </c>
      <c r="Q6" s="25">
        <f t="shared" si="8"/>
        <v>18318283.095335215</v>
      </c>
      <c r="R6" s="65">
        <f>Q6-E6</f>
        <v>18295075.350009892</v>
      </c>
      <c r="S6" s="25">
        <f t="shared" si="5"/>
        <v>121778.75000990182</v>
      </c>
      <c r="T6" s="38">
        <f t="shared" si="6"/>
        <v>6.6924255174970904E-3</v>
      </c>
      <c r="U6" t="s">
        <v>99</v>
      </c>
      <c r="AA6" t="s">
        <v>70</v>
      </c>
      <c r="AG6"/>
      <c r="AI6" s="56"/>
      <c r="AJ6" s="51"/>
      <c r="AL6" s="29"/>
      <c r="AN6" s="80"/>
      <c r="AO6" s="80"/>
      <c r="AP6" s="5"/>
      <c r="AQ6" s="5"/>
      <c r="AR6" s="5"/>
      <c r="AS6" s="5"/>
      <c r="AT6" s="5"/>
      <c r="AU6" s="22"/>
    </row>
    <row r="7" spans="1:47">
      <c r="A7" s="2">
        <v>40664</v>
      </c>
      <c r="B7">
        <f t="shared" si="1"/>
        <v>2011</v>
      </c>
      <c r="C7">
        <f t="shared" si="2"/>
        <v>5</v>
      </c>
      <c r="D7" s="69">
        <v>19219228.860000029</v>
      </c>
      <c r="E7" s="69">
        <v>23207.745325324893</v>
      </c>
      <c r="F7" s="69">
        <v>19242436.605325352</v>
      </c>
      <c r="G7" s="63">
        <v>87.4</v>
      </c>
      <c r="H7" s="63">
        <v>28.3</v>
      </c>
      <c r="I7" s="66">
        <f t="shared" ref="I7:J7" si="10">I19</f>
        <v>93.759999999999991</v>
      </c>
      <c r="J7" s="66">
        <f t="shared" si="10"/>
        <v>43.35</v>
      </c>
      <c r="K7" s="25">
        <v>31</v>
      </c>
      <c r="L7" s="25">
        <v>1</v>
      </c>
      <c r="M7" s="25">
        <v>0</v>
      </c>
      <c r="N7" s="30">
        <v>26969</v>
      </c>
      <c r="O7" s="87">
        <v>0</v>
      </c>
      <c r="P7" s="59">
        <v>0</v>
      </c>
      <c r="Q7" s="25">
        <f t="shared" si="8"/>
        <v>20075584.611483201</v>
      </c>
      <c r="R7" s="65">
        <f t="shared" si="4"/>
        <v>20052376.866157878</v>
      </c>
      <c r="S7" s="25">
        <f t="shared" si="5"/>
        <v>833148.00615784898</v>
      </c>
      <c r="T7" s="38">
        <f t="shared" si="6"/>
        <v>4.3297427620329274E-2</v>
      </c>
      <c r="AG7"/>
      <c r="AI7" s="56"/>
      <c r="AJ7" s="51"/>
      <c r="AK7" s="29"/>
      <c r="AL7" s="29"/>
      <c r="AN7" s="80"/>
      <c r="AO7" s="80"/>
      <c r="AP7" s="5"/>
      <c r="AQ7" s="5"/>
      <c r="AR7" s="5"/>
      <c r="AS7" s="5"/>
      <c r="AT7" s="5"/>
      <c r="AU7" s="22"/>
    </row>
    <row r="8" spans="1:47">
      <c r="A8" s="2">
        <v>40695</v>
      </c>
      <c r="B8">
        <f t="shared" si="1"/>
        <v>2011</v>
      </c>
      <c r="C8">
        <f t="shared" si="2"/>
        <v>6</v>
      </c>
      <c r="D8" s="69">
        <v>23432000.140000012</v>
      </c>
      <c r="E8" s="69">
        <v>23207.745325324893</v>
      </c>
      <c r="F8" s="69">
        <v>23455207.885325335</v>
      </c>
      <c r="G8" s="63">
        <v>4.7999999999999989</v>
      </c>
      <c r="H8" s="63">
        <v>97.999999999999986</v>
      </c>
      <c r="I8" s="66">
        <f t="shared" ref="I8:J8" si="11">I20</f>
        <v>8.7399999999999984</v>
      </c>
      <c r="J8" s="66">
        <f t="shared" si="11"/>
        <v>118.63000000000002</v>
      </c>
      <c r="K8" s="25">
        <v>30</v>
      </c>
      <c r="L8" s="25">
        <v>0</v>
      </c>
      <c r="M8" s="25">
        <v>0</v>
      </c>
      <c r="N8" s="30">
        <v>27068</v>
      </c>
      <c r="O8" s="87">
        <v>0</v>
      </c>
      <c r="P8" s="59">
        <v>0</v>
      </c>
      <c r="Q8" s="25">
        <f t="shared" si="8"/>
        <v>24560756.974158041</v>
      </c>
      <c r="R8" s="65">
        <f t="shared" si="4"/>
        <v>24537549.228832718</v>
      </c>
      <c r="S8" s="25">
        <f t="shared" si="5"/>
        <v>1105549.0888327062</v>
      </c>
      <c r="T8" s="38">
        <f t="shared" si="6"/>
        <v>4.713448263762305E-2</v>
      </c>
      <c r="V8" t="s">
        <v>8</v>
      </c>
      <c r="W8" t="s">
        <v>9</v>
      </c>
      <c r="X8" t="s">
        <v>10</v>
      </c>
      <c r="Y8" t="s">
        <v>11</v>
      </c>
      <c r="AB8" t="s">
        <v>8</v>
      </c>
      <c r="AC8" t="s">
        <v>9</v>
      </c>
      <c r="AD8" t="s">
        <v>10</v>
      </c>
      <c r="AE8" t="s">
        <v>11</v>
      </c>
      <c r="AG8"/>
      <c r="AI8" s="56"/>
      <c r="AJ8" s="51"/>
      <c r="AK8" s="29"/>
      <c r="AL8" s="29"/>
      <c r="AN8" s="80"/>
      <c r="AO8" s="80"/>
      <c r="AP8" s="5"/>
      <c r="AQ8" s="5"/>
      <c r="AR8" s="5"/>
      <c r="AS8" s="5"/>
      <c r="AT8" s="5"/>
      <c r="AU8" s="22"/>
    </row>
    <row r="9" spans="1:47">
      <c r="A9" s="2">
        <v>40725</v>
      </c>
      <c r="B9">
        <f t="shared" si="1"/>
        <v>2011</v>
      </c>
      <c r="C9">
        <f t="shared" si="2"/>
        <v>7</v>
      </c>
      <c r="D9" s="69">
        <v>29858048.27999996</v>
      </c>
      <c r="E9" s="69">
        <v>23207.745325324893</v>
      </c>
      <c r="F9" s="69">
        <v>29881256.025325283</v>
      </c>
      <c r="G9" s="63">
        <v>0</v>
      </c>
      <c r="H9" s="63">
        <v>260.30000000000007</v>
      </c>
      <c r="I9" s="66">
        <f t="shared" ref="I9:J9" si="12">I21</f>
        <v>0</v>
      </c>
      <c r="J9" s="66">
        <f t="shared" si="12"/>
        <v>207.41000000000003</v>
      </c>
      <c r="K9" s="25">
        <v>31</v>
      </c>
      <c r="L9" s="25">
        <v>0</v>
      </c>
      <c r="M9" s="25">
        <v>0</v>
      </c>
      <c r="N9" s="30">
        <v>27119</v>
      </c>
      <c r="O9" s="87">
        <v>0</v>
      </c>
      <c r="P9" s="59">
        <v>0</v>
      </c>
      <c r="Q9" s="25">
        <f t="shared" si="8"/>
        <v>27124077.387348704</v>
      </c>
      <c r="R9" s="65">
        <f t="shared" si="4"/>
        <v>27100869.642023381</v>
      </c>
      <c r="S9" s="25">
        <f t="shared" si="5"/>
        <v>-2757178.6379765794</v>
      </c>
      <c r="T9" s="38">
        <f t="shared" si="6"/>
        <v>9.2271176139309061E-2</v>
      </c>
      <c r="U9" t="s">
        <v>12</v>
      </c>
      <c r="V9">
        <v>-24788260.2544889</v>
      </c>
      <c r="W9">
        <v>5058199.4520784104</v>
      </c>
      <c r="X9">
        <v>-4.9006094934242697</v>
      </c>
      <c r="Y9" s="64">
        <v>2.9008236781988299E-6</v>
      </c>
      <c r="AA9" t="s">
        <v>12</v>
      </c>
      <c r="AB9">
        <v>-18893263.306903001</v>
      </c>
      <c r="AC9">
        <v>5185235.7900725901</v>
      </c>
      <c r="AD9">
        <v>-3.6436652202152802</v>
      </c>
      <c r="AE9">
        <v>3.9476725714889698E-4</v>
      </c>
      <c r="AG9"/>
      <c r="AH9" s="39"/>
      <c r="AI9" s="51"/>
      <c r="AJ9" s="51"/>
      <c r="AK9" s="29"/>
      <c r="AL9" s="29"/>
      <c r="AN9" s="80"/>
      <c r="AO9" s="80"/>
      <c r="AP9" s="5"/>
      <c r="AQ9" s="5"/>
      <c r="AR9" s="5"/>
      <c r="AS9" s="5"/>
      <c r="AT9" s="5"/>
      <c r="AU9" s="22"/>
    </row>
    <row r="10" spans="1:47">
      <c r="A10" s="2">
        <v>40756</v>
      </c>
      <c r="B10">
        <f t="shared" si="1"/>
        <v>2011</v>
      </c>
      <c r="C10">
        <f t="shared" si="2"/>
        <v>8</v>
      </c>
      <c r="D10" s="69">
        <v>28097294.710000008</v>
      </c>
      <c r="E10" s="69">
        <v>23207.745325324893</v>
      </c>
      <c r="F10" s="69">
        <v>28120502.455325332</v>
      </c>
      <c r="G10" s="63">
        <v>0</v>
      </c>
      <c r="H10" s="63">
        <v>184.2</v>
      </c>
      <c r="I10" s="66">
        <f t="shared" ref="I10:J10" si="13">I22</f>
        <v>0.29000000000000004</v>
      </c>
      <c r="J10" s="66">
        <f t="shared" si="13"/>
        <v>180.75000000000006</v>
      </c>
      <c r="K10" s="25">
        <v>31</v>
      </c>
      <c r="L10" s="25">
        <v>0</v>
      </c>
      <c r="M10" s="25">
        <v>0</v>
      </c>
      <c r="N10" s="30">
        <v>27177</v>
      </c>
      <c r="O10" s="87">
        <v>0</v>
      </c>
      <c r="P10" s="59">
        <v>0</v>
      </c>
      <c r="Q10" s="25">
        <f t="shared" si="8"/>
        <v>27942867.811907701</v>
      </c>
      <c r="R10" s="65">
        <f t="shared" si="4"/>
        <v>27919660.066582378</v>
      </c>
      <c r="S10" s="25">
        <f t="shared" si="5"/>
        <v>-177634.64341763034</v>
      </c>
      <c r="T10" s="38">
        <f t="shared" si="6"/>
        <v>6.3169085865317004E-3</v>
      </c>
      <c r="U10" t="s">
        <v>5</v>
      </c>
      <c r="V10">
        <v>7639.1476558713603</v>
      </c>
      <c r="W10">
        <v>1151.19006128611</v>
      </c>
      <c r="X10">
        <v>6.63587005549451</v>
      </c>
      <c r="Y10" s="64">
        <v>8.7872897838188896E-10</v>
      </c>
      <c r="AA10" t="s">
        <v>5</v>
      </c>
      <c r="AB10">
        <v>8735.5477451992792</v>
      </c>
      <c r="AC10">
        <v>955.16207542171696</v>
      </c>
      <c r="AD10">
        <v>9.1456182882286399</v>
      </c>
      <c r="AE10" s="64">
        <v>1.5513487993009601E-15</v>
      </c>
      <c r="AG10"/>
      <c r="AH10" s="56"/>
      <c r="AI10" s="51"/>
      <c r="AJ10" s="51"/>
      <c r="AK10" s="29"/>
      <c r="AL10" s="29"/>
      <c r="AN10" s="80"/>
      <c r="AO10" s="80"/>
      <c r="AP10" s="5"/>
      <c r="AQ10" s="5"/>
      <c r="AR10" s="5"/>
      <c r="AS10" s="5"/>
      <c r="AT10" s="5"/>
      <c r="AU10" s="22"/>
    </row>
    <row r="11" spans="1:47">
      <c r="A11" s="2">
        <v>40787</v>
      </c>
      <c r="B11">
        <f t="shared" si="1"/>
        <v>2011</v>
      </c>
      <c r="C11">
        <f t="shared" si="2"/>
        <v>9</v>
      </c>
      <c r="D11" s="69">
        <v>19896374.790000003</v>
      </c>
      <c r="E11" s="69">
        <v>23207.745325324893</v>
      </c>
      <c r="F11" s="69">
        <v>19919582.535325326</v>
      </c>
      <c r="G11" s="63">
        <v>22.400000000000006</v>
      </c>
      <c r="H11" s="63">
        <v>73.7</v>
      </c>
      <c r="I11" s="66">
        <f t="shared" ref="I11:J11" si="14">I23</f>
        <v>27</v>
      </c>
      <c r="J11" s="66">
        <f t="shared" si="14"/>
        <v>80.61</v>
      </c>
      <c r="K11" s="25">
        <v>30</v>
      </c>
      <c r="L11" s="25">
        <v>1</v>
      </c>
      <c r="M11" s="25">
        <v>1</v>
      </c>
      <c r="N11" s="30">
        <v>27326</v>
      </c>
      <c r="O11" s="87">
        <v>0</v>
      </c>
      <c r="P11" s="59">
        <v>0</v>
      </c>
      <c r="Q11" s="25">
        <f t="shared" si="8"/>
        <v>20314943.911354929</v>
      </c>
      <c r="R11" s="65">
        <f t="shared" si="4"/>
        <v>20291736.166029606</v>
      </c>
      <c r="S11" s="25">
        <f t="shared" si="5"/>
        <v>395361.37602960318</v>
      </c>
      <c r="T11" s="38">
        <f t="shared" si="6"/>
        <v>1.9847874589162224E-2</v>
      </c>
      <c r="U11" t="s">
        <v>6</v>
      </c>
      <c r="V11">
        <v>52130.4336921266</v>
      </c>
      <c r="W11">
        <v>3729.7936280069698</v>
      </c>
      <c r="X11">
        <v>13.976760885824801</v>
      </c>
      <c r="Y11" s="64">
        <v>2.5894283903026099E-27</v>
      </c>
      <c r="AA11" t="s">
        <v>6</v>
      </c>
      <c r="AB11">
        <v>52933.346861410202</v>
      </c>
      <c r="AC11">
        <v>3453.72029547191</v>
      </c>
      <c r="AD11">
        <v>15.3264718427864</v>
      </c>
      <c r="AE11" s="64">
        <v>2.6212456298096899E-30</v>
      </c>
      <c r="AG11"/>
      <c r="AH11" s="56"/>
      <c r="AI11" s="81"/>
      <c r="AJ11" s="51"/>
      <c r="AK11" s="29"/>
      <c r="AL11" s="29"/>
      <c r="AN11" s="80"/>
      <c r="AO11" s="80"/>
      <c r="AP11" s="5"/>
      <c r="AQ11" s="5"/>
      <c r="AR11" s="5"/>
      <c r="AS11" s="5"/>
      <c r="AT11" s="5"/>
      <c r="AU11" s="22"/>
    </row>
    <row r="12" spans="1:47" ht="13.5" customHeight="1">
      <c r="A12" s="2">
        <v>40817</v>
      </c>
      <c r="B12">
        <f t="shared" si="1"/>
        <v>2011</v>
      </c>
      <c r="C12">
        <f t="shared" si="2"/>
        <v>10</v>
      </c>
      <c r="D12" s="69">
        <v>18244566.349999983</v>
      </c>
      <c r="E12" s="69">
        <v>23207.745325324893</v>
      </c>
      <c r="F12" s="69">
        <v>18267774.095325306</v>
      </c>
      <c r="G12" s="63">
        <v>180.70000000000002</v>
      </c>
      <c r="H12" s="63">
        <v>9.6999999999999957</v>
      </c>
      <c r="I12" s="66">
        <f t="shared" ref="I12:J12" si="15">I24</f>
        <v>167.57</v>
      </c>
      <c r="J12" s="66">
        <f t="shared" si="15"/>
        <v>9.9699999999999989</v>
      </c>
      <c r="K12" s="25">
        <v>31</v>
      </c>
      <c r="L12" s="25">
        <v>1</v>
      </c>
      <c r="M12" s="25">
        <v>0</v>
      </c>
      <c r="N12" s="30">
        <v>27440</v>
      </c>
      <c r="O12" s="87">
        <v>0</v>
      </c>
      <c r="P12" s="59">
        <v>0</v>
      </c>
      <c r="Q12" s="25">
        <f t="shared" si="8"/>
        <v>18181547.303700589</v>
      </c>
      <c r="R12" s="65">
        <f t="shared" si="4"/>
        <v>18158339.558375265</v>
      </c>
      <c r="S12" s="25">
        <f t="shared" si="5"/>
        <v>-86226.791624717414</v>
      </c>
      <c r="T12" s="38">
        <f t="shared" si="6"/>
        <v>4.720158634257619E-3</v>
      </c>
      <c r="U12" t="s">
        <v>1</v>
      </c>
      <c r="V12">
        <v>764629.53466513695</v>
      </c>
      <c r="W12">
        <v>156777.34876609399</v>
      </c>
      <c r="X12">
        <v>4.8771684218613496</v>
      </c>
      <c r="Y12" s="64">
        <v>3.20557898267182E-6</v>
      </c>
      <c r="AA12" t="s">
        <v>1</v>
      </c>
      <c r="AB12">
        <v>700140.39219496294</v>
      </c>
      <c r="AC12">
        <v>167154.58775368199</v>
      </c>
      <c r="AD12">
        <v>4.1885801736215802</v>
      </c>
      <c r="AE12" s="64">
        <v>5.3081721144805101E-5</v>
      </c>
      <c r="AG12"/>
      <c r="AH12" s="39"/>
      <c r="AI12" s="51"/>
      <c r="AJ12" s="51"/>
      <c r="AK12" s="29"/>
      <c r="AL12" s="29"/>
      <c r="AN12" s="80"/>
      <c r="AO12" s="80"/>
      <c r="AP12" s="5"/>
      <c r="AQ12" s="5"/>
      <c r="AR12" s="5"/>
      <c r="AS12" s="5"/>
      <c r="AT12" s="5"/>
      <c r="AU12" s="22"/>
    </row>
    <row r="13" spans="1:47">
      <c r="A13" s="2">
        <v>40848</v>
      </c>
      <c r="B13">
        <f t="shared" si="1"/>
        <v>2011</v>
      </c>
      <c r="C13">
        <f t="shared" si="2"/>
        <v>11</v>
      </c>
      <c r="D13" s="69">
        <v>20183725.750000019</v>
      </c>
      <c r="E13" s="69">
        <v>23207.745325324893</v>
      </c>
      <c r="F13" s="69">
        <v>20206933.495325342</v>
      </c>
      <c r="G13" s="63">
        <v>281.89999999999998</v>
      </c>
      <c r="H13" s="63">
        <v>0</v>
      </c>
      <c r="I13" s="66">
        <f t="shared" ref="I13:J13" si="16">I25</f>
        <v>366.25</v>
      </c>
      <c r="J13" s="66">
        <f t="shared" si="16"/>
        <v>1.0000000000000142E-2</v>
      </c>
      <c r="K13" s="25">
        <v>30</v>
      </c>
      <c r="L13" s="25">
        <v>1</v>
      </c>
      <c r="M13" s="25">
        <v>0</v>
      </c>
      <c r="N13" s="30">
        <v>27703</v>
      </c>
      <c r="O13" s="87">
        <v>0</v>
      </c>
      <c r="P13" s="59">
        <v>0</v>
      </c>
      <c r="Q13" s="25">
        <f t="shared" si="8"/>
        <v>20851816.904435012</v>
      </c>
      <c r="R13" s="65">
        <f t="shared" si="4"/>
        <v>20828609.159109689</v>
      </c>
      <c r="S13" s="25">
        <f t="shared" si="5"/>
        <v>644883.40910967067</v>
      </c>
      <c r="T13" s="38">
        <f t="shared" si="6"/>
        <v>3.1913967018244387E-2</v>
      </c>
      <c r="U13" t="s">
        <v>3</v>
      </c>
      <c r="V13">
        <v>-3437664.8279276802</v>
      </c>
      <c r="W13">
        <v>408371.93195958599</v>
      </c>
      <c r="X13">
        <v>-8.4179752791332607</v>
      </c>
      <c r="Y13" s="64">
        <v>7.54209114134145E-14</v>
      </c>
      <c r="AA13" t="s">
        <v>3</v>
      </c>
      <c r="AB13">
        <v>-2872240.8640193399</v>
      </c>
      <c r="AC13">
        <v>364282.109347158</v>
      </c>
      <c r="AD13">
        <v>-7.8846607898663397</v>
      </c>
      <c r="AE13" s="64">
        <v>1.44662653707938E-12</v>
      </c>
      <c r="AG13"/>
      <c r="AH13" s="39"/>
      <c r="AI13" s="51"/>
      <c r="AJ13" s="51"/>
      <c r="AK13" s="29"/>
      <c r="AL13" s="29"/>
      <c r="AN13" s="80"/>
      <c r="AO13" s="80"/>
      <c r="AP13" s="5"/>
      <c r="AQ13" s="5"/>
      <c r="AR13" s="5"/>
      <c r="AS13" s="5"/>
      <c r="AT13" s="5"/>
      <c r="AU13" s="22"/>
    </row>
    <row r="14" spans="1:47" ht="13.5" customHeight="1">
      <c r="A14" s="2">
        <v>40878</v>
      </c>
      <c r="B14">
        <f t="shared" si="1"/>
        <v>2011</v>
      </c>
      <c r="C14">
        <f t="shared" si="2"/>
        <v>12</v>
      </c>
      <c r="D14" s="69">
        <v>25085188.549999982</v>
      </c>
      <c r="E14" s="69">
        <v>23207.745325324893</v>
      </c>
      <c r="F14" s="69">
        <v>25108396.295325305</v>
      </c>
      <c r="G14" s="63">
        <v>472.00000000000006</v>
      </c>
      <c r="H14" s="63">
        <v>0</v>
      </c>
      <c r="I14" s="66">
        <f t="shared" ref="I14:J14" si="17">I26</f>
        <v>513.3599999999999</v>
      </c>
      <c r="J14" s="66">
        <f t="shared" si="17"/>
        <v>0</v>
      </c>
      <c r="K14" s="25">
        <v>31</v>
      </c>
      <c r="L14" s="25">
        <v>0</v>
      </c>
      <c r="M14" s="25">
        <v>0</v>
      </c>
      <c r="N14" s="30">
        <v>27826</v>
      </c>
      <c r="O14" s="87">
        <v>0</v>
      </c>
      <c r="P14" s="59">
        <v>0</v>
      </c>
      <c r="Q14" s="25">
        <f t="shared" si="8"/>
        <v>25424351.442372143</v>
      </c>
      <c r="R14" s="65">
        <f t="shared" si="4"/>
        <v>25401143.69704682</v>
      </c>
      <c r="S14" s="25">
        <f t="shared" si="5"/>
        <v>315955.14704683796</v>
      </c>
      <c r="T14" s="38">
        <f t="shared" si="6"/>
        <v>1.2583645061618796E-2</v>
      </c>
      <c r="U14" t="s">
        <v>2</v>
      </c>
      <c r="V14">
        <v>1681922.91412949</v>
      </c>
      <c r="W14">
        <v>526188.88632570801</v>
      </c>
      <c r="X14">
        <v>3.1964242458142502</v>
      </c>
      <c r="Y14" s="64">
        <v>1.7622228716866601E-3</v>
      </c>
      <c r="AA14" t="s">
        <v>2</v>
      </c>
      <c r="AB14">
        <v>1706351.3837903</v>
      </c>
      <c r="AC14">
        <v>497363.92251725</v>
      </c>
      <c r="AD14">
        <v>3.4307904263625302</v>
      </c>
      <c r="AE14" s="64">
        <v>8.1999039110360495E-4</v>
      </c>
      <c r="AG14"/>
      <c r="AH14" s="39"/>
      <c r="AI14" s="51"/>
      <c r="AJ14" s="51"/>
      <c r="AK14" s="29"/>
      <c r="AL14" s="29"/>
      <c r="AN14" s="80"/>
      <c r="AO14" s="80"/>
      <c r="AP14" s="5"/>
      <c r="AQ14" s="5"/>
      <c r="AR14" s="5"/>
      <c r="AS14" s="5"/>
      <c r="AT14" s="5"/>
      <c r="AU14" s="22"/>
    </row>
    <row r="15" spans="1:47">
      <c r="A15" s="2">
        <v>40909</v>
      </c>
      <c r="B15">
        <f t="shared" si="1"/>
        <v>2012</v>
      </c>
      <c r="C15">
        <f t="shared" si="2"/>
        <v>1</v>
      </c>
      <c r="D15" s="69">
        <v>22605358.370000012</v>
      </c>
      <c r="E15" s="69">
        <v>60152.639777244323</v>
      </c>
      <c r="F15" s="69">
        <v>22665511.009777255</v>
      </c>
      <c r="G15" s="63">
        <v>549.1</v>
      </c>
      <c r="H15" s="63">
        <v>0</v>
      </c>
      <c r="I15" s="66">
        <f t="shared" ref="I15:J15" si="18">I27</f>
        <v>625.5</v>
      </c>
      <c r="J15" s="66">
        <f t="shared" si="18"/>
        <v>0</v>
      </c>
      <c r="K15" s="25">
        <v>31</v>
      </c>
      <c r="L15" s="25">
        <v>0</v>
      </c>
      <c r="M15" s="25">
        <v>0</v>
      </c>
      <c r="N15" s="30">
        <v>27984</v>
      </c>
      <c r="O15" s="87">
        <v>0</v>
      </c>
      <c r="P15" s="59">
        <v>0</v>
      </c>
      <c r="Q15" s="25">
        <f t="shared" si="8"/>
        <v>23249141.890685827</v>
      </c>
      <c r="R15" s="65">
        <f t="shared" si="4"/>
        <v>23188989.250908583</v>
      </c>
      <c r="S15" s="25">
        <f t="shared" si="5"/>
        <v>583630.88090857118</v>
      </c>
      <c r="T15" s="38">
        <f t="shared" si="6"/>
        <v>2.574973406321214E-2</v>
      </c>
      <c r="U15" t="s">
        <v>0</v>
      </c>
      <c r="V15">
        <v>735.95751732585995</v>
      </c>
      <c r="W15">
        <v>58.182343389931702</v>
      </c>
      <c r="X15">
        <v>12.649155644927401</v>
      </c>
      <c r="Y15" s="64">
        <v>4.0207722631808099E-24</v>
      </c>
      <c r="AA15" t="s">
        <v>0</v>
      </c>
      <c r="AB15">
        <v>588.46728649549095</v>
      </c>
      <c r="AC15">
        <v>38.071823410709797</v>
      </c>
      <c r="AD15">
        <v>15.456766547460701</v>
      </c>
      <c r="AE15" s="64">
        <v>1.31711731993705E-30</v>
      </c>
      <c r="AG15"/>
      <c r="AH15" s="39"/>
      <c r="AI15" s="51"/>
      <c r="AJ15" s="51"/>
      <c r="AK15" s="29"/>
      <c r="AL15" s="29"/>
      <c r="AN15" s="80"/>
      <c r="AO15" s="80"/>
      <c r="AP15" s="5"/>
      <c r="AQ15" s="5"/>
      <c r="AR15" s="5"/>
      <c r="AS15" s="5"/>
      <c r="AT15" s="5"/>
      <c r="AU15" s="22"/>
    </row>
    <row r="16" spans="1:47">
      <c r="A16" s="2">
        <v>40940</v>
      </c>
      <c r="B16">
        <f t="shared" si="1"/>
        <v>2012</v>
      </c>
      <c r="C16">
        <f t="shared" si="2"/>
        <v>2</v>
      </c>
      <c r="D16" s="69">
        <v>21671478.420000002</v>
      </c>
      <c r="E16" s="69">
        <v>60152.639777244323</v>
      </c>
      <c r="F16" s="69">
        <v>21731631.059777245</v>
      </c>
      <c r="G16" s="63">
        <v>473.70000000000005</v>
      </c>
      <c r="H16" s="63">
        <v>0</v>
      </c>
      <c r="I16" s="66">
        <f t="shared" ref="I16:J16" si="19">I28</f>
        <v>573.20999999999992</v>
      </c>
      <c r="J16" s="66">
        <f t="shared" si="19"/>
        <v>0</v>
      </c>
      <c r="K16" s="25">
        <v>29</v>
      </c>
      <c r="L16" s="25">
        <v>0</v>
      </c>
      <c r="M16" s="25">
        <v>0</v>
      </c>
      <c r="N16" s="30">
        <v>28152</v>
      </c>
      <c r="O16" s="87">
        <v>0</v>
      </c>
      <c r="P16" s="59">
        <v>0</v>
      </c>
      <c r="Q16" s="25">
        <f t="shared" si="8"/>
        <v>22491802.643013004</v>
      </c>
      <c r="R16" s="65">
        <f t="shared" si="4"/>
        <v>22431650.003235761</v>
      </c>
      <c r="S16" s="25">
        <f t="shared" si="5"/>
        <v>760171.58323575929</v>
      </c>
      <c r="T16" s="38">
        <f t="shared" si="6"/>
        <v>3.4979959909348435E-2</v>
      </c>
      <c r="AA16" t="s">
        <v>71</v>
      </c>
      <c r="AB16">
        <v>3576.4087557058901</v>
      </c>
      <c r="AC16">
        <v>1128.55821394485</v>
      </c>
      <c r="AD16">
        <v>3.1690068899544301</v>
      </c>
      <c r="AE16">
        <v>1.9302008059125699E-3</v>
      </c>
      <c r="AG16" s="2"/>
      <c r="AH16" s="39"/>
      <c r="AI16" s="51"/>
      <c r="AJ16" s="51"/>
      <c r="AK16" s="29"/>
      <c r="AL16" s="29"/>
      <c r="AN16" s="80"/>
      <c r="AO16" s="80"/>
      <c r="AP16" s="5"/>
      <c r="AQ16" s="5"/>
      <c r="AR16" s="5"/>
      <c r="AS16" s="5"/>
      <c r="AT16" s="27"/>
      <c r="AU16" s="22"/>
    </row>
    <row r="17" spans="1:48">
      <c r="A17" s="2">
        <v>40969</v>
      </c>
      <c r="B17">
        <f t="shared" si="1"/>
        <v>2012</v>
      </c>
      <c r="C17">
        <f t="shared" si="2"/>
        <v>3</v>
      </c>
      <c r="D17" s="69">
        <v>19949861.740000002</v>
      </c>
      <c r="E17" s="69">
        <v>60152.639777244323</v>
      </c>
      <c r="F17" s="69">
        <v>20010014.379777245</v>
      </c>
      <c r="G17" s="63">
        <v>290.2</v>
      </c>
      <c r="H17" s="63">
        <v>3</v>
      </c>
      <c r="I17" s="66">
        <f t="shared" ref="I17:J17" si="20">I29</f>
        <v>471.05</v>
      </c>
      <c r="J17" s="66">
        <f t="shared" si="20"/>
        <v>0.3</v>
      </c>
      <c r="K17" s="25">
        <v>31</v>
      </c>
      <c r="L17" s="25">
        <v>1</v>
      </c>
      <c r="M17" s="25">
        <v>0</v>
      </c>
      <c r="N17" s="30">
        <v>28320</v>
      </c>
      <c r="O17" s="87">
        <v>0</v>
      </c>
      <c r="P17" s="59">
        <v>0</v>
      </c>
      <c r="Q17" s="25">
        <f t="shared" si="8"/>
        <v>21250802.062372841</v>
      </c>
      <c r="R17" s="65">
        <f t="shared" si="4"/>
        <v>21190649.422595598</v>
      </c>
      <c r="S17" s="25">
        <f t="shared" si="5"/>
        <v>1240787.6825955957</v>
      </c>
      <c r="T17" s="38">
        <f t="shared" si="6"/>
        <v>6.2008335378787888E-2</v>
      </c>
      <c r="U17" t="s">
        <v>13</v>
      </c>
      <c r="Y17" s="64"/>
      <c r="AA17" t="s">
        <v>72</v>
      </c>
      <c r="AB17">
        <v>24534.8158289153</v>
      </c>
      <c r="AC17">
        <v>3130.9815657572599</v>
      </c>
      <c r="AD17">
        <v>7.8361418978783597</v>
      </c>
      <c r="AE17" s="64">
        <v>1.8720205917012902E-12</v>
      </c>
      <c r="AG17" s="2"/>
      <c r="AH17" s="39"/>
      <c r="AI17" s="51"/>
      <c r="AJ17" s="51"/>
      <c r="AK17" s="29"/>
      <c r="AL17" s="29"/>
      <c r="AN17" s="80"/>
      <c r="AO17" s="80"/>
      <c r="AP17" s="5"/>
      <c r="AQ17" s="5"/>
      <c r="AR17" s="5"/>
      <c r="AS17" s="5"/>
      <c r="AT17" s="5"/>
      <c r="AU17" s="22"/>
    </row>
    <row r="18" spans="1:48">
      <c r="A18" s="2">
        <v>41000</v>
      </c>
      <c r="B18">
        <f t="shared" si="1"/>
        <v>2012</v>
      </c>
      <c r="C18">
        <f t="shared" si="2"/>
        <v>4</v>
      </c>
      <c r="D18" s="69">
        <v>18851854.700000014</v>
      </c>
      <c r="E18" s="69">
        <v>60152.639777244323</v>
      </c>
      <c r="F18" s="69">
        <v>18912007.339777257</v>
      </c>
      <c r="G18" s="63">
        <v>263.10000000000002</v>
      </c>
      <c r="H18" s="63">
        <v>1.3999999999999986</v>
      </c>
      <c r="I18" s="66">
        <f t="shared" ref="I18:J18" si="21">I30</f>
        <v>285.58000000000004</v>
      </c>
      <c r="J18" s="66">
        <f t="shared" si="21"/>
        <v>0.38999999999999985</v>
      </c>
      <c r="K18" s="25">
        <v>30</v>
      </c>
      <c r="L18" s="25">
        <v>1</v>
      </c>
      <c r="M18" s="25">
        <v>0</v>
      </c>
      <c r="N18" s="30">
        <v>28570</v>
      </c>
      <c r="O18" s="87">
        <v>0</v>
      </c>
      <c r="P18" s="59">
        <v>0</v>
      </c>
      <c r="Q18" s="25">
        <f t="shared" si="8"/>
        <v>19031083.641052198</v>
      </c>
      <c r="R18" s="65">
        <f t="shared" si="4"/>
        <v>18970931.001274955</v>
      </c>
      <c r="S18" s="25">
        <f t="shared" si="5"/>
        <v>119076.30127494037</v>
      </c>
      <c r="T18" s="38">
        <f t="shared" si="6"/>
        <v>6.2963332836958822E-3</v>
      </c>
      <c r="U18" t="s">
        <v>14</v>
      </c>
      <c r="V18">
        <v>26318647.798103601</v>
      </c>
      <c r="W18" t="s">
        <v>15</v>
      </c>
      <c r="X18">
        <v>5379028.7518450199</v>
      </c>
      <c r="AG18" s="2"/>
      <c r="AH18" s="39"/>
      <c r="AI18" s="82"/>
      <c r="AJ18" s="52"/>
      <c r="AK18" s="29"/>
      <c r="AN18" s="45"/>
      <c r="AO18" s="53"/>
      <c r="AP18" s="53"/>
      <c r="AQ18" s="53"/>
      <c r="AR18" s="5"/>
      <c r="AS18" s="5"/>
      <c r="AU18" s="22"/>
    </row>
    <row r="19" spans="1:48">
      <c r="A19" s="2">
        <v>41030</v>
      </c>
      <c r="B19">
        <f t="shared" si="1"/>
        <v>2012</v>
      </c>
      <c r="C19">
        <f t="shared" si="2"/>
        <v>5</v>
      </c>
      <c r="D19" s="69">
        <v>18991152.079999991</v>
      </c>
      <c r="E19" s="69">
        <v>60152.639777244323</v>
      </c>
      <c r="F19" s="69">
        <v>19051304.719777234</v>
      </c>
      <c r="G19" s="63">
        <v>46.199999999999989</v>
      </c>
      <c r="H19" s="63">
        <v>64.199999999999989</v>
      </c>
      <c r="I19" s="66">
        <f t="shared" ref="I19:J19" si="22">I31</f>
        <v>93.759999999999991</v>
      </c>
      <c r="J19" s="66">
        <f t="shared" si="22"/>
        <v>43.35</v>
      </c>
      <c r="K19" s="25">
        <v>31</v>
      </c>
      <c r="L19" s="25">
        <v>1</v>
      </c>
      <c r="M19" s="25">
        <v>0</v>
      </c>
      <c r="N19" s="30">
        <v>28755</v>
      </c>
      <c r="O19" s="87">
        <v>0</v>
      </c>
      <c r="P19" s="59">
        <v>0</v>
      </c>
      <c r="Q19" s="25">
        <f t="shared" si="8"/>
        <v>18327703.039809637</v>
      </c>
      <c r="R19" s="65">
        <f t="shared" si="4"/>
        <v>18267550.400032394</v>
      </c>
      <c r="S19" s="25">
        <f t="shared" si="5"/>
        <v>-723601.67996759713</v>
      </c>
      <c r="T19" s="38">
        <f t="shared" si="6"/>
        <v>3.7981738815842013E-2</v>
      </c>
      <c r="U19" t="s">
        <v>16</v>
      </c>
      <c r="V19">
        <v>308375275941528</v>
      </c>
      <c r="W19" t="s">
        <v>17</v>
      </c>
      <c r="X19">
        <v>1570669.35016006</v>
      </c>
      <c r="AA19" t="s">
        <v>13</v>
      </c>
      <c r="AG19" s="2"/>
      <c r="AH19" s="39"/>
      <c r="AI19" s="51"/>
      <c r="AJ19" s="39"/>
      <c r="AK19" s="58"/>
      <c r="AL19" s="58"/>
      <c r="AM19" s="1"/>
      <c r="AP19" s="5"/>
      <c r="AQ19" s="5"/>
      <c r="AR19" s="5"/>
      <c r="AS19" s="5"/>
    </row>
    <row r="20" spans="1:48">
      <c r="A20" s="2">
        <v>41061</v>
      </c>
      <c r="B20">
        <f t="shared" si="1"/>
        <v>2012</v>
      </c>
      <c r="C20">
        <f t="shared" si="2"/>
        <v>6</v>
      </c>
      <c r="D20" s="69">
        <v>27898710.519999996</v>
      </c>
      <c r="E20" s="69">
        <v>60152.639777244323</v>
      </c>
      <c r="F20" s="69">
        <v>27958863.159777239</v>
      </c>
      <c r="G20" s="63">
        <v>9.6</v>
      </c>
      <c r="H20" s="63">
        <v>148</v>
      </c>
      <c r="I20" s="66">
        <f t="shared" ref="I20:J20" si="23">I32</f>
        <v>8.7399999999999984</v>
      </c>
      <c r="J20" s="66">
        <f t="shared" si="23"/>
        <v>118.63000000000002</v>
      </c>
      <c r="K20" s="25">
        <v>30</v>
      </c>
      <c r="L20" s="25">
        <v>0</v>
      </c>
      <c r="M20" s="25">
        <v>0</v>
      </c>
      <c r="N20" s="30">
        <v>28856</v>
      </c>
      <c r="O20" s="87">
        <v>0</v>
      </c>
      <c r="P20" s="59">
        <v>0</v>
      </c>
      <c r="Q20" s="25">
        <f t="shared" si="8"/>
        <v>26421222.655255433</v>
      </c>
      <c r="R20" s="65">
        <f t="shared" si="4"/>
        <v>26361070.01547819</v>
      </c>
      <c r="S20" s="25">
        <f t="shared" si="5"/>
        <v>-1537640.5045218058</v>
      </c>
      <c r="T20" s="38">
        <f t="shared" si="6"/>
        <v>5.4996531716422513E-2</v>
      </c>
      <c r="U20" t="s">
        <v>18</v>
      </c>
      <c r="V20">
        <v>0.91868261016751995</v>
      </c>
      <c r="W20" t="s">
        <v>19</v>
      </c>
      <c r="X20">
        <v>0.91477937545556098</v>
      </c>
      <c r="AA20" t="s">
        <v>14</v>
      </c>
      <c r="AB20">
        <v>26318647.798103601</v>
      </c>
      <c r="AC20" t="s">
        <v>15</v>
      </c>
      <c r="AD20">
        <v>5379028.7518450199</v>
      </c>
      <c r="AG20" s="2"/>
      <c r="AH20" s="39"/>
      <c r="AI20" s="51"/>
      <c r="AJ20" s="81"/>
      <c r="AK20" s="29"/>
      <c r="AM20" s="1"/>
      <c r="AP20" s="5"/>
      <c r="AQ20" s="5"/>
      <c r="AR20" s="5"/>
      <c r="AS20" s="5"/>
    </row>
    <row r="21" spans="1:48">
      <c r="A21" s="2">
        <v>41091</v>
      </c>
      <c r="B21">
        <f t="shared" si="1"/>
        <v>2012</v>
      </c>
      <c r="C21">
        <f t="shared" si="2"/>
        <v>7</v>
      </c>
      <c r="D21" s="69">
        <v>33515927.190000005</v>
      </c>
      <c r="E21" s="69">
        <v>60152.639777244323</v>
      </c>
      <c r="F21" s="69">
        <v>33576079.829777248</v>
      </c>
      <c r="G21" s="63">
        <v>0</v>
      </c>
      <c r="H21" s="63">
        <v>257.39999999999998</v>
      </c>
      <c r="I21" s="66">
        <f t="shared" ref="I21:J21" si="24">I33</f>
        <v>0</v>
      </c>
      <c r="J21" s="66">
        <f t="shared" si="24"/>
        <v>207.41000000000003</v>
      </c>
      <c r="K21" s="25">
        <v>31</v>
      </c>
      <c r="L21" s="25">
        <v>0</v>
      </c>
      <c r="M21" s="25">
        <v>0</v>
      </c>
      <c r="N21" s="30">
        <v>28963</v>
      </c>
      <c r="O21" s="87">
        <v>0</v>
      </c>
      <c r="P21" s="59">
        <v>0</v>
      </c>
      <c r="Q21" s="25">
        <f t="shared" si="8"/>
        <v>30970079.44950784</v>
      </c>
      <c r="R21" s="65">
        <f t="shared" si="4"/>
        <v>30909926.809730597</v>
      </c>
      <c r="S21" s="25">
        <f t="shared" si="5"/>
        <v>-2606000.3802694082</v>
      </c>
      <c r="T21" s="38">
        <f t="shared" si="6"/>
        <v>7.7614789858768837E-2</v>
      </c>
      <c r="U21" t="s">
        <v>79</v>
      </c>
      <c r="V21">
        <v>154.99794796483101</v>
      </c>
      <c r="W21" t="s">
        <v>20</v>
      </c>
      <c r="X21" s="64">
        <v>2.0300904863380698E-55</v>
      </c>
      <c r="Y21" s="64"/>
      <c r="AA21" t="s">
        <v>16</v>
      </c>
      <c r="AB21">
        <v>233370554573808</v>
      </c>
      <c r="AC21" t="s">
        <v>17</v>
      </c>
      <c r="AD21">
        <v>1377432.9682060301</v>
      </c>
      <c r="AE21" s="64"/>
      <c r="AG21" s="2"/>
      <c r="AH21" s="39"/>
      <c r="AI21" s="82"/>
      <c r="AJ21" s="39"/>
      <c r="AK21" s="29"/>
      <c r="AM21" s="1"/>
      <c r="AP21" s="5"/>
      <c r="AQ21" s="5"/>
      <c r="AR21" s="5"/>
      <c r="AS21" s="5"/>
    </row>
    <row r="22" spans="1:48">
      <c r="A22" s="2">
        <v>41122</v>
      </c>
      <c r="B22">
        <f t="shared" si="1"/>
        <v>2012</v>
      </c>
      <c r="C22">
        <f t="shared" si="2"/>
        <v>8</v>
      </c>
      <c r="D22" s="69">
        <v>29969286.820000008</v>
      </c>
      <c r="E22" s="69">
        <v>60152.639777244323</v>
      </c>
      <c r="F22" s="69">
        <v>30029439.459777251</v>
      </c>
      <c r="G22" s="63">
        <v>0</v>
      </c>
      <c r="H22" s="63">
        <v>172.1</v>
      </c>
      <c r="I22" s="66">
        <f t="shared" ref="I22:J22" si="25">I34</f>
        <v>0.29000000000000004</v>
      </c>
      <c r="J22" s="66">
        <f t="shared" si="25"/>
        <v>180.75000000000006</v>
      </c>
      <c r="K22" s="25">
        <v>31</v>
      </c>
      <c r="L22" s="25">
        <v>0</v>
      </c>
      <c r="M22" s="25">
        <v>0</v>
      </c>
      <c r="N22" s="30">
        <v>29039</v>
      </c>
      <c r="O22" s="87">
        <v>0</v>
      </c>
      <c r="P22" s="59">
        <v>0</v>
      </c>
      <c r="Q22" s="25">
        <f t="shared" si="8"/>
        <v>30482583.06403435</v>
      </c>
      <c r="R22" s="65">
        <f t="shared" si="4"/>
        <v>30422430.424257107</v>
      </c>
      <c r="S22" s="25">
        <f t="shared" si="5"/>
        <v>453143.60425709933</v>
      </c>
      <c r="T22" s="38">
        <f t="shared" si="6"/>
        <v>1.5089978781124428E-2</v>
      </c>
      <c r="U22" t="s">
        <v>21</v>
      </c>
      <c r="V22">
        <v>-3.72299638746246E-2</v>
      </c>
      <c r="W22" t="s">
        <v>22</v>
      </c>
      <c r="X22">
        <v>2.0739298535490098</v>
      </c>
      <c r="Y22" s="64"/>
      <c r="AA22" t="s">
        <v>18</v>
      </c>
      <c r="AB22">
        <v>0.93843263368290097</v>
      </c>
      <c r="AC22" t="s">
        <v>19</v>
      </c>
      <c r="AD22">
        <v>0.93442825213382197</v>
      </c>
      <c r="AE22" s="64"/>
      <c r="AG22" s="2"/>
      <c r="AH22" s="39"/>
      <c r="AI22" s="51"/>
      <c r="AJ22" s="39"/>
      <c r="AK22" s="29"/>
      <c r="AM22" s="54"/>
      <c r="AN22" s="54"/>
      <c r="AO22" s="54"/>
      <c r="AP22" s="54"/>
      <c r="AQ22" s="54"/>
      <c r="AR22" s="54"/>
      <c r="AS22" s="5"/>
    </row>
    <row r="23" spans="1:48">
      <c r="A23" s="2">
        <v>41153</v>
      </c>
      <c r="B23">
        <f t="shared" si="1"/>
        <v>2012</v>
      </c>
      <c r="C23">
        <f t="shared" si="2"/>
        <v>9</v>
      </c>
      <c r="D23" s="69">
        <v>21178062.030000005</v>
      </c>
      <c r="E23" s="69">
        <v>60152.639777244323</v>
      </c>
      <c r="F23" s="69">
        <v>21238214.669777248</v>
      </c>
      <c r="G23" s="63">
        <v>48.300000000000011</v>
      </c>
      <c r="H23" s="63">
        <v>58.899999999999991</v>
      </c>
      <c r="I23" s="66">
        <f t="shared" ref="I23:J23" si="26">I35</f>
        <v>27</v>
      </c>
      <c r="J23" s="66">
        <f t="shared" si="26"/>
        <v>80.61</v>
      </c>
      <c r="K23" s="25">
        <v>30</v>
      </c>
      <c r="L23" s="25">
        <v>1</v>
      </c>
      <c r="M23" s="25">
        <v>1</v>
      </c>
      <c r="N23" s="30">
        <v>29133</v>
      </c>
      <c r="O23" s="87">
        <v>0</v>
      </c>
      <c r="P23" s="59">
        <v>0</v>
      </c>
      <c r="Q23" s="25">
        <f t="shared" si="8"/>
        <v>22207252.540163256</v>
      </c>
      <c r="R23" s="65">
        <f t="shared" si="4"/>
        <v>22147099.900386013</v>
      </c>
      <c r="S23" s="25">
        <f t="shared" si="5"/>
        <v>969037.87038600817</v>
      </c>
      <c r="T23" s="38">
        <f t="shared" si="6"/>
        <v>4.5627087090563422E-2</v>
      </c>
      <c r="X23" s="64"/>
      <c r="Y23" s="64"/>
      <c r="AA23" t="s">
        <v>73</v>
      </c>
      <c r="AB23">
        <v>263.236867034233</v>
      </c>
      <c r="AC23" t="s">
        <v>20</v>
      </c>
      <c r="AD23" s="64">
        <v>1.5099957346625299E-73</v>
      </c>
      <c r="AE23" s="64"/>
      <c r="AG23" s="2"/>
      <c r="AH23" s="39"/>
      <c r="AI23" s="51"/>
      <c r="AJ23" s="39"/>
      <c r="AK23" s="29"/>
      <c r="AM23" s="54"/>
      <c r="AN23" s="54"/>
      <c r="AO23" s="54"/>
      <c r="AP23" s="54"/>
      <c r="AQ23" s="54"/>
      <c r="AR23" s="54"/>
      <c r="AS23" s="5"/>
    </row>
    <row r="24" spans="1:48">
      <c r="A24" s="2">
        <v>41183</v>
      </c>
      <c r="B24">
        <f t="shared" si="1"/>
        <v>2012</v>
      </c>
      <c r="C24">
        <f t="shared" si="2"/>
        <v>10</v>
      </c>
      <c r="D24" s="69">
        <v>19579886.000000007</v>
      </c>
      <c r="E24" s="69">
        <v>60152.639777244323</v>
      </c>
      <c r="F24" s="69">
        <v>19640038.639777251</v>
      </c>
      <c r="G24" s="63">
        <v>183.9</v>
      </c>
      <c r="H24" s="63">
        <v>4.5</v>
      </c>
      <c r="I24" s="66">
        <f t="shared" ref="I24:J24" si="27">I36</f>
        <v>167.57</v>
      </c>
      <c r="J24" s="66">
        <f t="shared" si="27"/>
        <v>9.9699999999999989</v>
      </c>
      <c r="K24" s="25">
        <v>31</v>
      </c>
      <c r="L24" s="25">
        <v>1</v>
      </c>
      <c r="M24" s="25">
        <v>0</v>
      </c>
      <c r="N24" s="30">
        <v>29289</v>
      </c>
      <c r="O24" s="87">
        <v>0</v>
      </c>
      <c r="P24" s="59">
        <v>0</v>
      </c>
      <c r="Q24" s="25">
        <f t="shared" si="8"/>
        <v>19800444.830852803</v>
      </c>
      <c r="R24" s="65">
        <f t="shared" si="4"/>
        <v>19740292.19107556</v>
      </c>
      <c r="S24" s="25">
        <f t="shared" si="5"/>
        <v>160406.19107555225</v>
      </c>
      <c r="T24" s="38">
        <f t="shared" si="6"/>
        <v>8.1673052694855343E-3</v>
      </c>
      <c r="Y24" s="64"/>
      <c r="AA24" t="s">
        <v>21</v>
      </c>
      <c r="AB24">
        <v>-4.2291676121520702E-3</v>
      </c>
      <c r="AC24" t="s">
        <v>22</v>
      </c>
      <c r="AD24">
        <v>1.9974519624829501</v>
      </c>
      <c r="AE24" s="64"/>
      <c r="AG24" s="2"/>
      <c r="AH24" s="39"/>
      <c r="AI24" s="82"/>
      <c r="AJ24" s="39"/>
      <c r="AK24" s="29"/>
      <c r="AM24" s="78"/>
      <c r="AN24" s="78"/>
      <c r="AO24" s="78"/>
      <c r="AP24" s="49"/>
      <c r="AQ24" s="49"/>
      <c r="AR24" s="49"/>
      <c r="AS24" s="5"/>
    </row>
    <row r="25" spans="1:48">
      <c r="A25" s="2">
        <v>41214</v>
      </c>
      <c r="B25">
        <f t="shared" si="1"/>
        <v>2012</v>
      </c>
      <c r="C25">
        <f t="shared" si="2"/>
        <v>11</v>
      </c>
      <c r="D25" s="69">
        <v>21421956.510000002</v>
      </c>
      <c r="E25" s="69">
        <v>60152.639777244323</v>
      </c>
      <c r="F25" s="69">
        <v>21482109.149777245</v>
      </c>
      <c r="G25" s="63">
        <v>373.99999999999994</v>
      </c>
      <c r="H25" s="63">
        <v>0</v>
      </c>
      <c r="I25" s="66">
        <f t="shared" ref="I25:J25" si="28">I37</f>
        <v>366.25</v>
      </c>
      <c r="J25" s="66">
        <f t="shared" si="28"/>
        <v>1.0000000000000142E-2</v>
      </c>
      <c r="K25" s="25">
        <v>30</v>
      </c>
      <c r="L25" s="25">
        <v>1</v>
      </c>
      <c r="M25" s="25">
        <v>0</v>
      </c>
      <c r="N25" s="30">
        <v>29378</v>
      </c>
      <c r="O25" s="87">
        <v>0</v>
      </c>
      <c r="P25" s="59">
        <v>0</v>
      </c>
      <c r="Q25" s="25">
        <f t="shared" si="8"/>
        <v>21423427.059781164</v>
      </c>
      <c r="R25" s="65">
        <f t="shared" si="4"/>
        <v>21363274.420003921</v>
      </c>
      <c r="S25" s="25">
        <f t="shared" si="5"/>
        <v>-58682.089996080846</v>
      </c>
      <c r="T25" s="38">
        <f t="shared" si="6"/>
        <v>2.7316726484787153E-3</v>
      </c>
      <c r="Y25" s="64"/>
      <c r="AG25" s="2"/>
      <c r="AH25" s="39"/>
      <c r="AI25" s="51"/>
      <c r="AJ25" s="55"/>
      <c r="AK25" s="2"/>
      <c r="AL25" s="29"/>
      <c r="AO25" s="2"/>
      <c r="AP25" s="56"/>
      <c r="AQ25" s="56"/>
      <c r="AR25" s="56"/>
      <c r="AS25" s="2"/>
      <c r="AT25" s="56"/>
      <c r="AU25" s="56"/>
      <c r="AV25" s="5"/>
    </row>
    <row r="26" spans="1:48">
      <c r="A26" s="2">
        <v>41244</v>
      </c>
      <c r="B26">
        <f t="shared" si="1"/>
        <v>2012</v>
      </c>
      <c r="C26">
        <f t="shared" si="2"/>
        <v>12</v>
      </c>
      <c r="D26" s="69">
        <v>25587420.26999997</v>
      </c>
      <c r="E26" s="69">
        <v>60152.639777244323</v>
      </c>
      <c r="F26" s="69">
        <v>25647572.909777213</v>
      </c>
      <c r="G26" s="63">
        <v>471.50000000000006</v>
      </c>
      <c r="H26" s="63">
        <v>0</v>
      </c>
      <c r="I26" s="66">
        <f t="shared" ref="I26:J26" si="29">I38</f>
        <v>513.3599999999999</v>
      </c>
      <c r="J26" s="66">
        <f t="shared" si="29"/>
        <v>0</v>
      </c>
      <c r="K26" s="25">
        <v>31</v>
      </c>
      <c r="L26" s="25">
        <v>0</v>
      </c>
      <c r="M26" s="25">
        <v>0</v>
      </c>
      <c r="N26" s="30">
        <v>29614</v>
      </c>
      <c r="O26" s="87">
        <v>0</v>
      </c>
      <c r="P26" s="59">
        <v>0</v>
      </c>
      <c r="Q26" s="25">
        <f t="shared" si="8"/>
        <v>25967347.630651988</v>
      </c>
      <c r="R26" s="65">
        <f t="shared" si="4"/>
        <v>25907194.990874745</v>
      </c>
      <c r="S26" s="25">
        <f t="shared" si="5"/>
        <v>319774.7208747752</v>
      </c>
      <c r="T26" s="38">
        <f t="shared" si="6"/>
        <v>1.2468030483807402E-2</v>
      </c>
      <c r="Y26" s="64"/>
      <c r="AG26" s="2"/>
      <c r="AH26" s="39"/>
      <c r="AI26" s="51"/>
      <c r="AJ26" s="55"/>
      <c r="AK26" s="2"/>
      <c r="AL26" s="29"/>
      <c r="AO26" s="2"/>
      <c r="AP26" s="56"/>
      <c r="AQ26" s="56"/>
      <c r="AR26" s="56"/>
      <c r="AS26" s="2"/>
      <c r="AT26" s="56"/>
      <c r="AU26" s="56"/>
      <c r="AV26" s="5"/>
    </row>
    <row r="27" spans="1:48">
      <c r="A27" s="2">
        <v>41275</v>
      </c>
      <c r="B27">
        <f t="shared" si="1"/>
        <v>2013</v>
      </c>
      <c r="C27">
        <f t="shared" si="2"/>
        <v>1</v>
      </c>
      <c r="D27" s="69">
        <v>24654099.019999988</v>
      </c>
      <c r="E27" s="69">
        <v>89162.051531255813</v>
      </c>
      <c r="F27" s="69">
        <v>24743261.071531244</v>
      </c>
      <c r="G27" s="63">
        <v>562.50000000000011</v>
      </c>
      <c r="H27" s="63">
        <v>0</v>
      </c>
      <c r="I27" s="66">
        <f t="shared" ref="I27:J27" si="30">I39</f>
        <v>625.5</v>
      </c>
      <c r="J27" s="66">
        <f t="shared" si="30"/>
        <v>0</v>
      </c>
      <c r="K27" s="25">
        <v>31</v>
      </c>
      <c r="L27" s="25">
        <v>0</v>
      </c>
      <c r="M27" s="25">
        <v>0</v>
      </c>
      <c r="N27" s="30">
        <v>29835</v>
      </c>
      <c r="O27" s="87">
        <v>0</v>
      </c>
      <c r="P27" s="59">
        <v>0</v>
      </c>
      <c r="Q27" s="25">
        <f t="shared" si="8"/>
        <v>25224527.373851139</v>
      </c>
      <c r="R27" s="65">
        <f t="shared" si="4"/>
        <v>25135365.322319884</v>
      </c>
      <c r="S27" s="25">
        <f t="shared" si="5"/>
        <v>481266.30231989548</v>
      </c>
      <c r="T27" s="38">
        <f t="shared" si="6"/>
        <v>1.9450399077493637E-2</v>
      </c>
      <c r="Y27" s="64"/>
      <c r="AG27" s="2"/>
      <c r="AH27" s="39"/>
      <c r="AJ27" s="55"/>
      <c r="AK27" s="2"/>
      <c r="AL27" s="29"/>
      <c r="AO27" s="2"/>
      <c r="AP27" s="56"/>
      <c r="AQ27" s="5"/>
      <c r="AR27" s="5"/>
      <c r="AS27" s="2"/>
      <c r="AT27" s="56"/>
      <c r="AU27" s="5"/>
      <c r="AV27" s="5"/>
    </row>
    <row r="28" spans="1:48">
      <c r="A28" s="2">
        <v>41306</v>
      </c>
      <c r="B28">
        <f t="shared" si="1"/>
        <v>2013</v>
      </c>
      <c r="C28">
        <f t="shared" si="2"/>
        <v>2</v>
      </c>
      <c r="D28" s="69">
        <v>23135370.840000026</v>
      </c>
      <c r="E28" s="69">
        <v>89162.051531255813</v>
      </c>
      <c r="F28" s="69">
        <v>23224532.891531281</v>
      </c>
      <c r="G28" s="63">
        <v>575.5</v>
      </c>
      <c r="H28" s="63">
        <v>0</v>
      </c>
      <c r="I28" s="66">
        <f t="shared" ref="I28:J28" si="31">I40</f>
        <v>573.20999999999992</v>
      </c>
      <c r="J28" s="66">
        <f t="shared" si="31"/>
        <v>0</v>
      </c>
      <c r="K28" s="25">
        <v>28</v>
      </c>
      <c r="L28" s="25">
        <v>0</v>
      </c>
      <c r="M28" s="25">
        <v>0</v>
      </c>
      <c r="N28" s="30">
        <v>29989</v>
      </c>
      <c r="O28" s="87">
        <v>0</v>
      </c>
      <c r="P28" s="59">
        <v>0</v>
      </c>
      <c r="Q28" s="25">
        <f t="shared" si="8"/>
        <v>23207039.243399337</v>
      </c>
      <c r="R28" s="65">
        <f t="shared" si="4"/>
        <v>23117877.191868082</v>
      </c>
      <c r="S28" s="25">
        <f t="shared" si="5"/>
        <v>-17493.648131944239</v>
      </c>
      <c r="T28" s="38">
        <f t="shared" si="6"/>
        <v>7.5324004205583903E-4</v>
      </c>
      <c r="Y28" s="64"/>
      <c r="AG28" s="2"/>
      <c r="AJ28" s="55"/>
      <c r="AK28" s="2"/>
      <c r="AL28" s="29"/>
      <c r="AO28" s="2"/>
      <c r="AP28" s="56"/>
      <c r="AQ28" s="5"/>
      <c r="AR28" s="5"/>
      <c r="AS28" s="2"/>
      <c r="AT28" s="56"/>
      <c r="AU28" s="5"/>
      <c r="AV28" s="5"/>
    </row>
    <row r="29" spans="1:48">
      <c r="A29" s="2">
        <v>41334</v>
      </c>
      <c r="B29">
        <f t="shared" si="1"/>
        <v>2013</v>
      </c>
      <c r="C29">
        <f t="shared" si="2"/>
        <v>3</v>
      </c>
      <c r="D29" s="69">
        <v>22963588.829999994</v>
      </c>
      <c r="E29" s="69">
        <v>89162.051531255813</v>
      </c>
      <c r="F29" s="69">
        <v>23052750.88153125</v>
      </c>
      <c r="G29" s="63">
        <v>492.79999999999995</v>
      </c>
      <c r="H29" s="63">
        <v>0</v>
      </c>
      <c r="I29" s="66">
        <f t="shared" ref="I29:J29" si="32">I41</f>
        <v>471.05</v>
      </c>
      <c r="J29" s="66">
        <f t="shared" si="32"/>
        <v>0.3</v>
      </c>
      <c r="K29" s="25">
        <v>31</v>
      </c>
      <c r="L29" s="25">
        <v>1</v>
      </c>
      <c r="M29" s="25">
        <v>0</v>
      </c>
      <c r="N29" s="30">
        <v>30236</v>
      </c>
      <c r="O29" s="87">
        <v>0</v>
      </c>
      <c r="P29" s="59">
        <v>0</v>
      </c>
      <c r="Q29" s="25">
        <f t="shared" si="8"/>
        <v>22902238.550123684</v>
      </c>
      <c r="R29" s="65">
        <f t="shared" si="4"/>
        <v>22813076.498592429</v>
      </c>
      <c r="S29" s="25">
        <f t="shared" si="5"/>
        <v>-150512.33140756562</v>
      </c>
      <c r="T29" s="38">
        <f t="shared" si="6"/>
        <v>6.5290399475990014E-3</v>
      </c>
      <c r="Y29" s="64"/>
      <c r="AG29" s="2"/>
      <c r="AJ29" s="55"/>
      <c r="AK29" s="2"/>
      <c r="AL29" s="29"/>
      <c r="AO29" s="2"/>
      <c r="AP29" s="56"/>
      <c r="AQ29" s="5"/>
      <c r="AR29" s="5"/>
      <c r="AS29" s="2"/>
      <c r="AT29" s="56"/>
      <c r="AU29" s="5"/>
      <c r="AV29" s="5"/>
    </row>
    <row r="30" spans="1:48">
      <c r="A30" s="2">
        <v>41365</v>
      </c>
      <c r="B30">
        <f t="shared" si="1"/>
        <v>2013</v>
      </c>
      <c r="C30">
        <f t="shared" si="2"/>
        <v>4</v>
      </c>
      <c r="D30" s="69">
        <v>19590025.609999973</v>
      </c>
      <c r="E30" s="69">
        <v>89162.051531255813</v>
      </c>
      <c r="F30" s="69">
        <v>19679187.661531229</v>
      </c>
      <c r="G30" s="63">
        <v>298.60000000000002</v>
      </c>
      <c r="H30" s="63">
        <v>0</v>
      </c>
      <c r="I30" s="66">
        <f t="shared" ref="I30:J30" si="33">I42</f>
        <v>285.58000000000004</v>
      </c>
      <c r="J30" s="66">
        <f t="shared" si="33"/>
        <v>0.38999999999999985</v>
      </c>
      <c r="K30" s="25">
        <v>30</v>
      </c>
      <c r="L30" s="25">
        <v>1</v>
      </c>
      <c r="M30" s="25">
        <v>0</v>
      </c>
      <c r="N30" s="30">
        <v>30511</v>
      </c>
      <c r="O30" s="87">
        <v>0</v>
      </c>
      <c r="P30" s="59">
        <v>0</v>
      </c>
      <c r="Q30" s="25">
        <f t="shared" si="8"/>
        <v>19600056.828191712</v>
      </c>
      <c r="R30" s="65">
        <f t="shared" si="4"/>
        <v>19510894.776660457</v>
      </c>
      <c r="S30" s="25">
        <f t="shared" si="5"/>
        <v>-79130.833339516073</v>
      </c>
      <c r="T30" s="38">
        <f t="shared" si="6"/>
        <v>4.0210416558098382E-3</v>
      </c>
      <c r="Y30" s="64"/>
      <c r="AG30" s="2"/>
      <c r="AJ30" s="55"/>
      <c r="AK30" s="2"/>
      <c r="AL30" s="29"/>
      <c r="AO30" s="2"/>
      <c r="AP30" s="56"/>
      <c r="AQ30" s="5"/>
      <c r="AR30" s="5"/>
      <c r="AS30" s="2"/>
      <c r="AT30" s="56"/>
      <c r="AU30" s="5"/>
      <c r="AV30" s="5"/>
    </row>
    <row r="31" spans="1:48">
      <c r="A31" s="2">
        <v>41395</v>
      </c>
      <c r="B31">
        <f t="shared" si="1"/>
        <v>2013</v>
      </c>
      <c r="C31">
        <f t="shared" si="2"/>
        <v>5</v>
      </c>
      <c r="D31" s="69">
        <v>20707182.480000004</v>
      </c>
      <c r="E31" s="69">
        <v>89162.051531255813</v>
      </c>
      <c r="F31" s="69">
        <v>20796344.531531259</v>
      </c>
      <c r="G31" s="63">
        <v>70.100000000000009</v>
      </c>
      <c r="H31" s="63">
        <v>46.1</v>
      </c>
      <c r="I31" s="66">
        <f t="shared" ref="I31:J31" si="34">I43</f>
        <v>93.759999999999991</v>
      </c>
      <c r="J31" s="66">
        <f t="shared" si="34"/>
        <v>43.35</v>
      </c>
      <c r="K31" s="25">
        <v>31</v>
      </c>
      <c r="L31" s="25">
        <v>1</v>
      </c>
      <c r="M31" s="25">
        <v>0</v>
      </c>
      <c r="N31" s="30">
        <v>30723</v>
      </c>
      <c r="O31" s="87">
        <v>0</v>
      </c>
      <c r="P31" s="59">
        <v>0</v>
      </c>
      <c r="Q31" s="25">
        <f t="shared" si="8"/>
        <v>20833728.072415829</v>
      </c>
      <c r="R31" s="65">
        <f t="shared" si="4"/>
        <v>20744566.020884573</v>
      </c>
      <c r="S31" s="25">
        <f t="shared" si="5"/>
        <v>37383.540884569287</v>
      </c>
      <c r="T31" s="38">
        <f t="shared" si="6"/>
        <v>1.7976015365531498E-3</v>
      </c>
      <c r="Y31" s="64"/>
      <c r="AG31" s="2"/>
      <c r="AJ31" s="55"/>
      <c r="AK31" s="2"/>
      <c r="AL31" s="29"/>
      <c r="AO31" s="2"/>
      <c r="AP31" s="56"/>
      <c r="AQ31" s="5"/>
      <c r="AR31" s="5"/>
      <c r="AS31" s="2"/>
      <c r="AT31" s="56"/>
      <c r="AU31" s="5"/>
      <c r="AV31" s="5"/>
    </row>
    <row r="32" spans="1:48">
      <c r="A32" s="2">
        <v>41426</v>
      </c>
      <c r="B32">
        <f t="shared" si="1"/>
        <v>2013</v>
      </c>
      <c r="C32">
        <f t="shared" si="2"/>
        <v>6</v>
      </c>
      <c r="D32" s="69">
        <v>24630971.620000005</v>
      </c>
      <c r="E32" s="69">
        <v>89162.051531255813</v>
      </c>
      <c r="F32" s="69">
        <v>24720133.67153126</v>
      </c>
      <c r="G32" s="63">
        <v>12.7</v>
      </c>
      <c r="H32" s="63">
        <v>99.300000000000011</v>
      </c>
      <c r="I32" s="66">
        <f t="shared" ref="I32:J32" si="35">I44</f>
        <v>8.7399999999999984</v>
      </c>
      <c r="J32" s="66">
        <f t="shared" si="35"/>
        <v>118.63000000000002</v>
      </c>
      <c r="K32" s="25">
        <v>30</v>
      </c>
      <c r="L32" s="25">
        <v>0</v>
      </c>
      <c r="M32" s="25">
        <v>0</v>
      </c>
      <c r="N32" s="30">
        <v>30825</v>
      </c>
      <c r="O32" s="87">
        <v>0</v>
      </c>
      <c r="P32" s="59">
        <v>0</v>
      </c>
      <c r="Q32" s="25">
        <f t="shared" si="8"/>
        <v>25697563.93008282</v>
      </c>
      <c r="R32" s="65">
        <f t="shared" si="4"/>
        <v>25608401.878551565</v>
      </c>
      <c r="S32" s="25">
        <f t="shared" si="5"/>
        <v>977430.25855156034</v>
      </c>
      <c r="T32" s="38">
        <f t="shared" si="6"/>
        <v>3.9539845194171017E-2</v>
      </c>
      <c r="AG32" s="2"/>
      <c r="AJ32" s="55"/>
      <c r="AK32" s="2"/>
      <c r="AL32" s="29"/>
      <c r="AO32" s="2"/>
      <c r="AP32" s="56"/>
      <c r="AQ32" s="5"/>
      <c r="AR32" s="5"/>
      <c r="AS32" s="2"/>
      <c r="AT32" s="56"/>
      <c r="AU32" s="5"/>
      <c r="AV32" s="5"/>
    </row>
    <row r="33" spans="1:51">
      <c r="A33" s="2">
        <v>41456</v>
      </c>
      <c r="B33">
        <f t="shared" si="1"/>
        <v>2013</v>
      </c>
      <c r="C33">
        <f t="shared" si="2"/>
        <v>7</v>
      </c>
      <c r="D33" s="69">
        <v>30978235.180000015</v>
      </c>
      <c r="E33" s="69">
        <v>89162.051531255813</v>
      </c>
      <c r="F33" s="69">
        <v>31067397.23153127</v>
      </c>
      <c r="G33" s="63">
        <v>0</v>
      </c>
      <c r="H33" s="63">
        <v>195.3</v>
      </c>
      <c r="I33" s="66">
        <f t="shared" ref="I33:J33" si="36">I45</f>
        <v>0</v>
      </c>
      <c r="J33" s="66">
        <f t="shared" si="36"/>
        <v>207.41000000000003</v>
      </c>
      <c r="K33" s="25">
        <v>31</v>
      </c>
      <c r="L33" s="25">
        <v>0</v>
      </c>
      <c r="M33" s="25">
        <v>0</v>
      </c>
      <c r="N33" s="30">
        <v>30936</v>
      </c>
      <c r="O33" s="87">
        <v>0</v>
      </c>
      <c r="P33" s="59">
        <v>0</v>
      </c>
      <c r="Q33" s="25">
        <f t="shared" si="8"/>
        <v>31698696.783542924</v>
      </c>
      <c r="R33" s="65">
        <f t="shared" si="4"/>
        <v>31609534.732011668</v>
      </c>
      <c r="S33" s="25">
        <f t="shared" si="5"/>
        <v>631299.55201165378</v>
      </c>
      <c r="T33" s="38">
        <f t="shared" si="6"/>
        <v>2.0320323176958262E-2</v>
      </c>
      <c r="Y33" s="64"/>
      <c r="AG33" s="2"/>
      <c r="AJ33" s="55"/>
      <c r="AK33" s="2"/>
      <c r="AL33" s="29"/>
      <c r="AO33" s="2"/>
      <c r="AP33" s="56"/>
      <c r="AQ33" s="5"/>
      <c r="AR33" s="5"/>
      <c r="AS33" s="2"/>
      <c r="AT33" s="56"/>
      <c r="AU33" s="5"/>
      <c r="AV33" s="5"/>
    </row>
    <row r="34" spans="1:51">
      <c r="A34" s="2">
        <v>41487</v>
      </c>
      <c r="B34">
        <f t="shared" si="1"/>
        <v>2013</v>
      </c>
      <c r="C34">
        <f t="shared" si="2"/>
        <v>8</v>
      </c>
      <c r="D34" s="69">
        <v>28353597.569999993</v>
      </c>
      <c r="E34" s="69">
        <v>89162.051531255813</v>
      </c>
      <c r="F34" s="69">
        <v>28442759.621531248</v>
      </c>
      <c r="G34" s="63">
        <v>0</v>
      </c>
      <c r="H34" s="63">
        <v>151.39999999999998</v>
      </c>
      <c r="I34" s="66">
        <f t="shared" ref="I34:J34" si="37">I46</f>
        <v>0.29000000000000004</v>
      </c>
      <c r="J34" s="66">
        <f t="shared" si="37"/>
        <v>180.75000000000006</v>
      </c>
      <c r="K34" s="25">
        <v>31</v>
      </c>
      <c r="L34" s="25">
        <v>0</v>
      </c>
      <c r="M34" s="25">
        <v>0</v>
      </c>
      <c r="N34" s="30">
        <v>30985</v>
      </c>
      <c r="O34" s="87">
        <v>0</v>
      </c>
      <c r="P34" s="59">
        <v>0</v>
      </c>
      <c r="Q34" s="25">
        <f t="shared" si="8"/>
        <v>29975003.203215372</v>
      </c>
      <c r="R34" s="65">
        <f t="shared" si="4"/>
        <v>29885841.151684117</v>
      </c>
      <c r="S34" s="25">
        <f t="shared" si="5"/>
        <v>1532243.5816841237</v>
      </c>
      <c r="T34" s="38">
        <f t="shared" si="6"/>
        <v>5.3871129316306249E-2</v>
      </c>
      <c r="X34" s="64"/>
      <c r="Y34" s="64"/>
      <c r="AG34" s="2"/>
      <c r="AJ34" s="55"/>
      <c r="AK34" s="2"/>
      <c r="AL34" s="29"/>
      <c r="AO34" s="2"/>
      <c r="AP34" s="56"/>
      <c r="AQ34" s="5"/>
      <c r="AR34" s="5"/>
      <c r="AS34" s="2"/>
      <c r="AT34" s="56"/>
      <c r="AU34" s="5"/>
      <c r="AV34" s="5"/>
    </row>
    <row r="35" spans="1:51">
      <c r="A35" s="2">
        <v>41518</v>
      </c>
      <c r="B35">
        <f t="shared" si="1"/>
        <v>2013</v>
      </c>
      <c r="C35">
        <f t="shared" si="2"/>
        <v>9</v>
      </c>
      <c r="D35" s="69">
        <v>20823560.830000009</v>
      </c>
      <c r="E35" s="69">
        <v>89162.051531255813</v>
      </c>
      <c r="F35" s="69">
        <v>20912722.881531265</v>
      </c>
      <c r="G35" s="63">
        <v>49.2</v>
      </c>
      <c r="H35" s="63">
        <v>47.3</v>
      </c>
      <c r="I35" s="66">
        <f t="shared" ref="I35:J35" si="38">I47</f>
        <v>27</v>
      </c>
      <c r="J35" s="66">
        <f t="shared" si="38"/>
        <v>80.61</v>
      </c>
      <c r="K35" s="25">
        <v>30</v>
      </c>
      <c r="L35" s="25">
        <v>1</v>
      </c>
      <c r="M35" s="25">
        <v>1</v>
      </c>
      <c r="N35" s="30">
        <v>31028</v>
      </c>
      <c r="O35" s="87">
        <v>0</v>
      </c>
      <c r="P35" s="59">
        <v>0</v>
      </c>
      <c r="Q35" s="25">
        <f t="shared" si="8"/>
        <v>22479598.549855657</v>
      </c>
      <c r="R35" s="65">
        <f t="shared" si="4"/>
        <v>22390436.498324402</v>
      </c>
      <c r="S35" s="25">
        <f t="shared" si="5"/>
        <v>1566875.6683243923</v>
      </c>
      <c r="T35" s="38">
        <f t="shared" si="6"/>
        <v>7.4924517347674191E-2</v>
      </c>
      <c r="AG35" s="2"/>
      <c r="AJ35" s="55"/>
      <c r="AK35" s="2"/>
      <c r="AL35" s="29"/>
      <c r="AO35" s="2"/>
      <c r="AP35" s="56"/>
      <c r="AQ35" s="5"/>
      <c r="AR35" s="5"/>
      <c r="AS35" s="2"/>
      <c r="AT35" s="56"/>
      <c r="AU35" s="29"/>
      <c r="AV35" s="5"/>
    </row>
    <row r="36" spans="1:51">
      <c r="A36" s="2">
        <v>41548</v>
      </c>
      <c r="B36">
        <f t="shared" si="1"/>
        <v>2013</v>
      </c>
      <c r="C36">
        <f t="shared" si="2"/>
        <v>10</v>
      </c>
      <c r="D36" s="69">
        <v>20892190.989999991</v>
      </c>
      <c r="E36" s="69">
        <v>89162.051531255813</v>
      </c>
      <c r="F36" s="69">
        <v>20981353.041531246</v>
      </c>
      <c r="G36" s="63">
        <v>166</v>
      </c>
      <c r="H36" s="63">
        <v>4.6999999999999993</v>
      </c>
      <c r="I36" s="66">
        <f t="shared" ref="I36:J36" si="39">I48</f>
        <v>167.57</v>
      </c>
      <c r="J36" s="66">
        <f t="shared" si="39"/>
        <v>9.9699999999999989</v>
      </c>
      <c r="K36" s="25">
        <v>31</v>
      </c>
      <c r="L36" s="25">
        <v>1</v>
      </c>
      <c r="M36" s="25">
        <v>0</v>
      </c>
      <c r="N36" s="30">
        <v>31160</v>
      </c>
      <c r="O36" s="87">
        <v>0</v>
      </c>
      <c r="P36" s="59">
        <v>0</v>
      </c>
      <c r="Q36" s="25">
        <f t="shared" si="8"/>
        <v>21268073.888908472</v>
      </c>
      <c r="R36" s="65">
        <f t="shared" si="4"/>
        <v>21178911.837377217</v>
      </c>
      <c r="S36" s="25">
        <f t="shared" si="5"/>
        <v>286720.84737722576</v>
      </c>
      <c r="T36" s="38">
        <f t="shared" si="6"/>
        <v>1.3665507977949763E-2</v>
      </c>
      <c r="Y36" s="64"/>
      <c r="AG36" s="2"/>
      <c r="AJ36" s="55"/>
      <c r="AK36" s="2"/>
      <c r="AL36" s="29"/>
      <c r="AO36" s="2"/>
      <c r="AP36" s="56"/>
      <c r="AQ36" s="5"/>
      <c r="AR36" s="5"/>
      <c r="AS36" s="2"/>
      <c r="AT36" s="56"/>
      <c r="AU36" s="5"/>
      <c r="AV36" s="5"/>
    </row>
    <row r="37" spans="1:51">
      <c r="A37" s="2">
        <v>41579</v>
      </c>
      <c r="B37">
        <f t="shared" si="1"/>
        <v>2013</v>
      </c>
      <c r="C37">
        <f t="shared" si="2"/>
        <v>11</v>
      </c>
      <c r="D37" s="69">
        <v>21740451.749999989</v>
      </c>
      <c r="E37" s="69">
        <v>89162.051531255813</v>
      </c>
      <c r="F37" s="69">
        <v>21829613.801531244</v>
      </c>
      <c r="G37" s="63">
        <v>418.20000000000005</v>
      </c>
      <c r="H37" s="63">
        <v>0</v>
      </c>
      <c r="I37" s="66">
        <f t="shared" ref="I37:J37" si="40">I49</f>
        <v>366.25</v>
      </c>
      <c r="J37" s="66">
        <f t="shared" si="40"/>
        <v>1.0000000000000142E-2</v>
      </c>
      <c r="K37" s="25">
        <v>30</v>
      </c>
      <c r="L37" s="25">
        <v>1</v>
      </c>
      <c r="M37" s="25">
        <v>0</v>
      </c>
      <c r="N37" s="30">
        <v>31231</v>
      </c>
      <c r="O37" s="87">
        <v>0</v>
      </c>
      <c r="P37" s="59">
        <v>0</v>
      </c>
      <c r="Q37" s="25">
        <f t="shared" ref="Q37:Q68" si="41">F37+(I37-G37)*$V$10+(J37-H37)*$V$11</f>
        <v>21433281.385145646</v>
      </c>
      <c r="R37" s="65">
        <f t="shared" si="4"/>
        <v>21344119.33361439</v>
      </c>
      <c r="S37" s="25">
        <f t="shared" si="5"/>
        <v>-396332.41638559848</v>
      </c>
      <c r="T37" s="38">
        <f t="shared" si="6"/>
        <v>1.8155722771320746E-2</v>
      </c>
      <c r="Y37" s="64"/>
      <c r="AG37" s="2"/>
      <c r="AK37" s="2"/>
      <c r="AO37" s="2"/>
      <c r="AP37" s="57"/>
      <c r="AQ37" s="5"/>
      <c r="AR37" s="5"/>
      <c r="AS37" s="2"/>
      <c r="AT37" s="57"/>
      <c r="AU37" s="53"/>
      <c r="AV37" s="5"/>
      <c r="AW37" s="23"/>
      <c r="AX37" s="23"/>
    </row>
    <row r="38" spans="1:51">
      <c r="A38" s="2">
        <v>41609</v>
      </c>
      <c r="B38">
        <f t="shared" si="1"/>
        <v>2013</v>
      </c>
      <c r="C38">
        <f t="shared" si="2"/>
        <v>12</v>
      </c>
      <c r="D38" s="69">
        <v>28821858.809999991</v>
      </c>
      <c r="E38" s="69">
        <v>89162.051531255813</v>
      </c>
      <c r="F38" s="69">
        <v>28911020.861531246</v>
      </c>
      <c r="G38" s="63">
        <v>625.9</v>
      </c>
      <c r="H38" s="63">
        <v>0</v>
      </c>
      <c r="I38" s="66">
        <f t="shared" ref="I38:J38" si="42">I50</f>
        <v>513.3599999999999</v>
      </c>
      <c r="J38" s="66">
        <f t="shared" si="42"/>
        <v>0</v>
      </c>
      <c r="K38" s="25">
        <v>31</v>
      </c>
      <c r="L38" s="25">
        <v>0</v>
      </c>
      <c r="M38" s="25">
        <v>0</v>
      </c>
      <c r="N38" s="30">
        <v>31309</v>
      </c>
      <c r="O38" s="87">
        <v>0</v>
      </c>
      <c r="P38" s="59">
        <v>0</v>
      </c>
      <c r="Q38" s="25">
        <f t="shared" si="41"/>
        <v>28051311.184339482</v>
      </c>
      <c r="R38" s="65">
        <f t="shared" si="4"/>
        <v>27962149.132808227</v>
      </c>
      <c r="S38" s="25">
        <f t="shared" si="5"/>
        <v>-859709.67719176412</v>
      </c>
      <c r="T38" s="38">
        <f t="shared" si="6"/>
        <v>2.9736399877033963E-2</v>
      </c>
      <c r="AG38" s="2"/>
      <c r="AK38" s="2"/>
      <c r="AO38" s="2"/>
      <c r="AP38" s="57"/>
      <c r="AQ38" s="5"/>
      <c r="AR38" s="5"/>
      <c r="AS38" s="2"/>
      <c r="AT38" s="57"/>
      <c r="AU38" s="5"/>
      <c r="AV38" s="5"/>
      <c r="AW38" s="23"/>
      <c r="AX38" s="23"/>
    </row>
    <row r="39" spans="1:51">
      <c r="A39" s="2">
        <v>41640</v>
      </c>
      <c r="B39">
        <f t="shared" si="1"/>
        <v>2014</v>
      </c>
      <c r="C39">
        <f t="shared" si="2"/>
        <v>1</v>
      </c>
      <c r="D39" s="69">
        <v>26189486.200000007</v>
      </c>
      <c r="E39" s="69">
        <v>170537.35727284456</v>
      </c>
      <c r="F39" s="69">
        <v>26360023.557272851</v>
      </c>
      <c r="G39" s="63">
        <v>763.9000000000002</v>
      </c>
      <c r="H39" s="63">
        <v>0</v>
      </c>
      <c r="I39" s="66">
        <f t="shared" ref="I39:J39" si="43">I51</f>
        <v>625.5</v>
      </c>
      <c r="J39" s="66">
        <f t="shared" si="43"/>
        <v>0</v>
      </c>
      <c r="K39" s="25">
        <v>31</v>
      </c>
      <c r="L39" s="25">
        <v>0</v>
      </c>
      <c r="M39" s="25">
        <v>0</v>
      </c>
      <c r="N39" s="30">
        <v>31327</v>
      </c>
      <c r="O39" s="87">
        <v>0</v>
      </c>
      <c r="P39" s="59">
        <v>0</v>
      </c>
      <c r="Q39" s="25">
        <f t="shared" si="41"/>
        <v>25302765.521700256</v>
      </c>
      <c r="R39" s="65">
        <f t="shared" si="4"/>
        <v>25132228.164427411</v>
      </c>
      <c r="S39" s="25">
        <f t="shared" si="5"/>
        <v>-1057258.0355725959</v>
      </c>
      <c r="T39" s="38">
        <f t="shared" si="6"/>
        <v>4.0108387356918483E-2</v>
      </c>
      <c r="Y39" s="64"/>
      <c r="AG39" s="2"/>
      <c r="AK39" s="2"/>
      <c r="AO39" s="2"/>
      <c r="AP39" s="57"/>
      <c r="AQ39" s="5"/>
      <c r="AR39" s="5"/>
      <c r="AS39" s="2"/>
      <c r="AT39" s="57"/>
      <c r="AU39" s="5"/>
      <c r="AV39" s="5"/>
      <c r="AW39" s="23"/>
      <c r="AX39" s="23"/>
    </row>
    <row r="40" spans="1:51">
      <c r="A40" s="2">
        <v>41671</v>
      </c>
      <c r="B40">
        <f t="shared" si="1"/>
        <v>2014</v>
      </c>
      <c r="C40">
        <f t="shared" si="2"/>
        <v>2</v>
      </c>
      <c r="D40" s="69">
        <v>26203678.18999999</v>
      </c>
      <c r="E40" s="69">
        <v>170537.35727284456</v>
      </c>
      <c r="F40" s="69">
        <v>26374215.547272835</v>
      </c>
      <c r="G40" s="63">
        <v>681.0999999999998</v>
      </c>
      <c r="H40" s="63">
        <v>0</v>
      </c>
      <c r="I40" s="66">
        <f t="shared" ref="I40:J40" si="44">I52</f>
        <v>573.20999999999992</v>
      </c>
      <c r="J40" s="66">
        <f t="shared" si="44"/>
        <v>0</v>
      </c>
      <c r="K40" s="25">
        <v>28</v>
      </c>
      <c r="L40" s="25">
        <v>0</v>
      </c>
      <c r="M40" s="25">
        <v>0</v>
      </c>
      <c r="N40" s="30">
        <v>31341</v>
      </c>
      <c r="O40" s="87">
        <v>0</v>
      </c>
      <c r="P40" s="59">
        <v>0</v>
      </c>
      <c r="Q40" s="25">
        <f t="shared" si="41"/>
        <v>25550027.906680875</v>
      </c>
      <c r="R40" s="65">
        <f t="shared" si="4"/>
        <v>25379490.54940803</v>
      </c>
      <c r="S40" s="25">
        <f t="shared" si="5"/>
        <v>-824187.6405919604</v>
      </c>
      <c r="T40" s="38">
        <f t="shared" si="6"/>
        <v>3.1249749935299352E-2</v>
      </c>
      <c r="AG40" s="2"/>
      <c r="AK40" s="2"/>
      <c r="AO40" s="2"/>
      <c r="AP40" s="57"/>
      <c r="AQ40" s="5"/>
      <c r="AR40" s="5"/>
      <c r="AS40" s="2"/>
      <c r="AT40" s="57"/>
      <c r="AU40" s="5"/>
      <c r="AV40" s="5"/>
      <c r="AW40" s="23"/>
      <c r="AX40" s="23"/>
    </row>
    <row r="41" spans="1:51">
      <c r="A41" s="2">
        <v>41699</v>
      </c>
      <c r="B41">
        <f t="shared" si="1"/>
        <v>2014</v>
      </c>
      <c r="C41">
        <f t="shared" si="2"/>
        <v>3</v>
      </c>
      <c r="D41" s="69">
        <v>23971257.690000013</v>
      </c>
      <c r="E41" s="69">
        <v>170537.35727284456</v>
      </c>
      <c r="F41" s="69">
        <v>24141795.047272857</v>
      </c>
      <c r="G41" s="63">
        <v>628.6</v>
      </c>
      <c r="H41" s="63">
        <v>0</v>
      </c>
      <c r="I41" s="66">
        <f t="shared" ref="I41:J41" si="45">I53</f>
        <v>471.05</v>
      </c>
      <c r="J41" s="66">
        <f t="shared" si="45"/>
        <v>0.3</v>
      </c>
      <c r="K41" s="25">
        <v>31</v>
      </c>
      <c r="L41" s="25">
        <v>1</v>
      </c>
      <c r="M41" s="25">
        <v>0</v>
      </c>
      <c r="N41" s="30">
        <v>31333</v>
      </c>
      <c r="O41" s="87">
        <v>0</v>
      </c>
      <c r="P41" s="59">
        <v>0</v>
      </c>
      <c r="Q41" s="25">
        <f t="shared" si="41"/>
        <v>22953886.464197963</v>
      </c>
      <c r="R41" s="65">
        <f t="shared" si="4"/>
        <v>22783349.106925119</v>
      </c>
      <c r="S41" s="25">
        <f t="shared" si="5"/>
        <v>-1187908.5830748938</v>
      </c>
      <c r="T41" s="38">
        <f t="shared" si="6"/>
        <v>4.9205478745420972E-2</v>
      </c>
      <c r="AG41" s="2"/>
      <c r="AK41" s="2"/>
      <c r="AO41" s="2"/>
      <c r="AP41" s="57"/>
      <c r="AQ41" s="5"/>
      <c r="AR41" s="5"/>
      <c r="AS41" s="2"/>
      <c r="AT41" s="57"/>
      <c r="AU41" s="5"/>
      <c r="AV41" s="5"/>
      <c r="AW41" s="23"/>
      <c r="AX41" s="23"/>
    </row>
    <row r="42" spans="1:51">
      <c r="A42" s="2">
        <v>41730</v>
      </c>
      <c r="B42">
        <f t="shared" si="1"/>
        <v>2014</v>
      </c>
      <c r="C42">
        <f t="shared" si="2"/>
        <v>4</v>
      </c>
      <c r="D42" s="69">
        <v>21900568.520000003</v>
      </c>
      <c r="E42" s="69">
        <v>170537.35727284456</v>
      </c>
      <c r="F42" s="69">
        <v>22071105.877272848</v>
      </c>
      <c r="G42" s="63">
        <v>296.90000000000003</v>
      </c>
      <c r="H42" s="63">
        <v>0</v>
      </c>
      <c r="I42" s="66">
        <f t="shared" ref="I42:J42" si="46">I54</f>
        <v>285.58000000000004</v>
      </c>
      <c r="J42" s="66">
        <f t="shared" si="46"/>
        <v>0.38999999999999985</v>
      </c>
      <c r="K42" s="25">
        <v>30</v>
      </c>
      <c r="L42" s="25">
        <v>1</v>
      </c>
      <c r="M42" s="25">
        <v>0</v>
      </c>
      <c r="N42" s="30">
        <v>31349</v>
      </c>
      <c r="O42" s="87">
        <v>0</v>
      </c>
      <c r="P42" s="59">
        <v>0</v>
      </c>
      <c r="Q42" s="25">
        <f t="shared" si="41"/>
        <v>22004961.594948314</v>
      </c>
      <c r="R42" s="65">
        <f t="shared" si="4"/>
        <v>21834424.237675469</v>
      </c>
      <c r="S42" s="25">
        <f t="shared" si="5"/>
        <v>-66144.28232453391</v>
      </c>
      <c r="T42" s="38">
        <f t="shared" si="6"/>
        <v>2.9968721409942708E-3</v>
      </c>
      <c r="AG42" s="2"/>
      <c r="AK42" s="2"/>
      <c r="AO42" s="2"/>
      <c r="AP42" s="57"/>
      <c r="AQ42" s="5"/>
      <c r="AR42" s="5"/>
      <c r="AS42" s="2"/>
      <c r="AT42" s="57"/>
      <c r="AU42" s="5"/>
      <c r="AV42" s="5"/>
      <c r="AW42" s="23"/>
      <c r="AX42" s="23"/>
    </row>
    <row r="43" spans="1:51">
      <c r="A43" s="2">
        <v>41760</v>
      </c>
      <c r="B43">
        <f t="shared" si="1"/>
        <v>2014</v>
      </c>
      <c r="C43">
        <f t="shared" si="2"/>
        <v>5</v>
      </c>
      <c r="D43" s="69">
        <v>20478356.049999967</v>
      </c>
      <c r="E43" s="69">
        <v>170537.35727284456</v>
      </c>
      <c r="F43" s="69">
        <v>20648893.407272812</v>
      </c>
      <c r="G43" s="63">
        <v>81.700000000000031</v>
      </c>
      <c r="H43" s="63">
        <v>23.500000000000004</v>
      </c>
      <c r="I43" s="66">
        <f t="shared" ref="I43:J43" si="47">I55</f>
        <v>93.759999999999991</v>
      </c>
      <c r="J43" s="66">
        <f t="shared" si="47"/>
        <v>43.35</v>
      </c>
      <c r="K43" s="25">
        <v>31</v>
      </c>
      <c r="L43" s="25">
        <v>1</v>
      </c>
      <c r="M43" s="25">
        <v>0</v>
      </c>
      <c r="N43" s="30">
        <v>31435</v>
      </c>
      <c r="O43" s="87">
        <v>0</v>
      </c>
      <c r="P43" s="59">
        <v>0</v>
      </c>
      <c r="Q43" s="25">
        <f t="shared" si="41"/>
        <v>21775810.636791334</v>
      </c>
      <c r="R43" s="65">
        <f t="shared" si="4"/>
        <v>21605273.279518489</v>
      </c>
      <c r="S43" s="25">
        <f t="shared" si="5"/>
        <v>1126917.2295185216</v>
      </c>
      <c r="T43" s="38">
        <f t="shared" si="6"/>
        <v>5.4575187507220436E-2</v>
      </c>
      <c r="AG43" s="2"/>
      <c r="AK43" s="2"/>
      <c r="AO43" s="2"/>
      <c r="AP43" s="57"/>
      <c r="AQ43" s="5"/>
      <c r="AR43" s="5"/>
      <c r="AS43" s="2"/>
      <c r="AT43" s="57"/>
      <c r="AU43" s="5"/>
      <c r="AV43" s="5"/>
      <c r="AW43" s="23"/>
      <c r="AX43" s="23"/>
    </row>
    <row r="44" spans="1:51">
      <c r="A44" s="2">
        <v>41791</v>
      </c>
      <c r="B44">
        <f t="shared" si="1"/>
        <v>2014</v>
      </c>
      <c r="C44">
        <f t="shared" si="2"/>
        <v>6</v>
      </c>
      <c r="D44" s="69">
        <v>24401887.909999993</v>
      </c>
      <c r="E44" s="69">
        <v>170537.35727284456</v>
      </c>
      <c r="F44" s="69">
        <v>24572425.267272837</v>
      </c>
      <c r="G44" s="63">
        <v>2.7999999999999989</v>
      </c>
      <c r="H44" s="63">
        <v>116.8</v>
      </c>
      <c r="I44" s="66">
        <f t="shared" ref="I44:J44" si="48">I56</f>
        <v>8.7399999999999984</v>
      </c>
      <c r="J44" s="66">
        <f t="shared" si="48"/>
        <v>118.63000000000002</v>
      </c>
      <c r="K44" s="25">
        <v>30</v>
      </c>
      <c r="L44" s="25">
        <v>0</v>
      </c>
      <c r="M44" s="25">
        <v>0</v>
      </c>
      <c r="N44" s="30">
        <v>31553</v>
      </c>
      <c r="O44" s="87">
        <v>0</v>
      </c>
      <c r="P44" s="59">
        <v>0</v>
      </c>
      <c r="Q44" s="25">
        <f t="shared" si="41"/>
        <v>24713200.498005308</v>
      </c>
      <c r="R44" s="65">
        <f t="shared" si="4"/>
        <v>24542663.140732463</v>
      </c>
      <c r="S44" s="25">
        <f t="shared" si="5"/>
        <v>140775.23073247075</v>
      </c>
      <c r="T44" s="38">
        <f t="shared" si="6"/>
        <v>5.7289921202838857E-3</v>
      </c>
      <c r="AG44" s="2"/>
      <c r="AK44" s="2"/>
      <c r="AO44" s="2"/>
      <c r="AP44" s="57"/>
      <c r="AQ44" s="5"/>
      <c r="AR44" s="5"/>
      <c r="AS44" s="2"/>
      <c r="AT44" s="57"/>
      <c r="AU44" s="5"/>
      <c r="AV44" s="5"/>
      <c r="AW44" s="23"/>
      <c r="AX44" s="23"/>
    </row>
    <row r="45" spans="1:51">
      <c r="A45" s="2">
        <v>41821</v>
      </c>
      <c r="B45">
        <f t="shared" si="1"/>
        <v>2014</v>
      </c>
      <c r="C45">
        <f t="shared" si="2"/>
        <v>7</v>
      </c>
      <c r="D45" s="69">
        <v>28438794.999999996</v>
      </c>
      <c r="E45" s="69">
        <v>170537.35727284456</v>
      </c>
      <c r="F45" s="69">
        <v>28609332.357272841</v>
      </c>
      <c r="G45" s="63">
        <v>0</v>
      </c>
      <c r="H45" s="63">
        <v>129</v>
      </c>
      <c r="I45" s="66">
        <f t="shared" ref="I45:J45" si="49">I57</f>
        <v>0</v>
      </c>
      <c r="J45" s="66">
        <f t="shared" si="49"/>
        <v>207.41000000000003</v>
      </c>
      <c r="K45" s="25">
        <v>31</v>
      </c>
      <c r="L45" s="25">
        <v>0</v>
      </c>
      <c r="M45" s="25">
        <v>0</v>
      </c>
      <c r="N45" s="30">
        <v>31756</v>
      </c>
      <c r="O45" s="87">
        <v>0</v>
      </c>
      <c r="P45" s="59">
        <v>0</v>
      </c>
      <c r="Q45" s="25">
        <f t="shared" si="41"/>
        <v>32696879.663072489</v>
      </c>
      <c r="R45" s="65">
        <f t="shared" si="4"/>
        <v>32526342.305799644</v>
      </c>
      <c r="S45" s="25">
        <f t="shared" si="5"/>
        <v>4087547.3057996482</v>
      </c>
      <c r="T45" s="38">
        <f t="shared" si="6"/>
        <v>0.1428746135965156</v>
      </c>
      <c r="X45" s="64"/>
      <c r="AG45" s="2"/>
      <c r="AK45" s="2"/>
      <c r="AO45" s="2"/>
      <c r="AP45" s="57"/>
      <c r="AQ45" s="5"/>
      <c r="AR45" s="5"/>
      <c r="AS45" s="2"/>
      <c r="AT45" s="57"/>
      <c r="AU45" s="5"/>
      <c r="AV45" s="5"/>
      <c r="AW45" s="23"/>
      <c r="AX45" s="23"/>
    </row>
    <row r="46" spans="1:51">
      <c r="A46" s="2">
        <v>41852</v>
      </c>
      <c r="B46">
        <f t="shared" si="1"/>
        <v>2014</v>
      </c>
      <c r="C46">
        <f t="shared" si="2"/>
        <v>8</v>
      </c>
      <c r="D46" s="69">
        <v>26308447.180000015</v>
      </c>
      <c r="E46" s="69">
        <v>170537.35727284456</v>
      </c>
      <c r="F46" s="69">
        <v>26478984.537272859</v>
      </c>
      <c r="G46" s="63">
        <v>1</v>
      </c>
      <c r="H46" s="63">
        <v>136</v>
      </c>
      <c r="I46" s="66">
        <f t="shared" ref="I46:J46" si="50">I58</f>
        <v>0.29000000000000004</v>
      </c>
      <c r="J46" s="66">
        <f t="shared" si="50"/>
        <v>180.75000000000006</v>
      </c>
      <c r="K46" s="25">
        <v>31</v>
      </c>
      <c r="L46" s="25">
        <v>0</v>
      </c>
      <c r="M46" s="25">
        <v>0</v>
      </c>
      <c r="N46" s="30">
        <v>31837</v>
      </c>
      <c r="O46" s="87">
        <v>0</v>
      </c>
      <c r="P46" s="59">
        <v>0</v>
      </c>
      <c r="Q46" s="25">
        <f t="shared" si="41"/>
        <v>28806397.650159858</v>
      </c>
      <c r="R46" s="65">
        <f t="shared" si="4"/>
        <v>28635860.292887013</v>
      </c>
      <c r="S46" s="25">
        <f t="shared" si="5"/>
        <v>2327413.1128869988</v>
      </c>
      <c r="T46" s="38">
        <f t="shared" si="6"/>
        <v>8.7896615129286426E-2</v>
      </c>
      <c r="AG46" s="2"/>
      <c r="AK46" s="2"/>
      <c r="AO46" s="2"/>
      <c r="AP46" s="57"/>
      <c r="AQ46" s="5"/>
      <c r="AR46" s="5"/>
      <c r="AS46" s="2"/>
      <c r="AT46" s="57"/>
      <c r="AU46" s="5"/>
      <c r="AV46" s="5"/>
      <c r="AW46" s="23"/>
      <c r="AX46" s="23"/>
      <c r="AY46" s="23"/>
    </row>
    <row r="47" spans="1:51">
      <c r="A47" s="2">
        <v>41883</v>
      </c>
      <c r="B47">
        <f t="shared" si="1"/>
        <v>2014</v>
      </c>
      <c r="C47">
        <f t="shared" si="2"/>
        <v>9</v>
      </c>
      <c r="D47" s="69">
        <v>21592645.629999999</v>
      </c>
      <c r="E47" s="69">
        <v>170537.35727284456</v>
      </c>
      <c r="F47" s="69">
        <v>21763182.987272844</v>
      </c>
      <c r="G47" s="63">
        <v>39.299999999999997</v>
      </c>
      <c r="H47" s="63">
        <v>59.70000000000001</v>
      </c>
      <c r="I47" s="66">
        <f t="shared" ref="I47:J47" si="51">I59</f>
        <v>27</v>
      </c>
      <c r="J47" s="66">
        <f t="shared" si="51"/>
        <v>80.61</v>
      </c>
      <c r="K47" s="25">
        <v>30</v>
      </c>
      <c r="L47" s="25">
        <v>1</v>
      </c>
      <c r="M47" s="25">
        <v>1</v>
      </c>
      <c r="N47" s="30">
        <v>31970</v>
      </c>
      <c r="O47" s="87">
        <v>0</v>
      </c>
      <c r="P47" s="59">
        <v>0</v>
      </c>
      <c r="Q47" s="25">
        <f t="shared" si="41"/>
        <v>22759268.839607995</v>
      </c>
      <c r="R47" s="65">
        <f t="shared" si="4"/>
        <v>22588731.48233515</v>
      </c>
      <c r="S47" s="25">
        <f t="shared" si="5"/>
        <v>996085.85233515128</v>
      </c>
      <c r="T47" s="38">
        <f t="shared" si="6"/>
        <v>4.5769309246614542E-2</v>
      </c>
      <c r="AG47" s="2"/>
      <c r="AK47" s="2"/>
      <c r="AO47" s="2"/>
      <c r="AP47" s="57"/>
      <c r="AQ47" s="5"/>
      <c r="AR47" s="5"/>
      <c r="AS47" s="2"/>
      <c r="AT47" s="57"/>
      <c r="AU47" s="5"/>
      <c r="AV47" s="5"/>
      <c r="AW47" s="23"/>
      <c r="AX47" s="23"/>
    </row>
    <row r="48" spans="1:51">
      <c r="A48" s="2">
        <v>41913</v>
      </c>
      <c r="B48">
        <f t="shared" si="1"/>
        <v>2014</v>
      </c>
      <c r="C48">
        <f t="shared" si="2"/>
        <v>10</v>
      </c>
      <c r="D48" s="69">
        <v>21211727.290000003</v>
      </c>
      <c r="E48" s="69">
        <v>170537.35727284456</v>
      </c>
      <c r="F48" s="69">
        <v>21382264.647272848</v>
      </c>
      <c r="G48" s="63">
        <v>167.3</v>
      </c>
      <c r="H48" s="63">
        <v>6.3000000000000007</v>
      </c>
      <c r="I48" s="66">
        <f t="shared" ref="I48:J48" si="52">I60</f>
        <v>167.57</v>
      </c>
      <c r="J48" s="66">
        <f t="shared" si="52"/>
        <v>9.9699999999999989</v>
      </c>
      <c r="K48" s="25">
        <v>31</v>
      </c>
      <c r="L48" s="25">
        <v>1</v>
      </c>
      <c r="M48" s="25">
        <v>0</v>
      </c>
      <c r="N48" s="30">
        <v>32106</v>
      </c>
      <c r="O48" s="87">
        <v>0</v>
      </c>
      <c r="P48" s="59">
        <v>0</v>
      </c>
      <c r="Q48" s="25">
        <f t="shared" si="41"/>
        <v>21575645.908790037</v>
      </c>
      <c r="R48" s="65">
        <f t="shared" si="4"/>
        <v>21405108.551517192</v>
      </c>
      <c r="S48" s="25">
        <f t="shared" si="5"/>
        <v>193381.26151718944</v>
      </c>
      <c r="T48" s="38">
        <f t="shared" si="6"/>
        <v>9.0440028082738096E-3</v>
      </c>
      <c r="AG48" s="2"/>
      <c r="AK48" s="2"/>
      <c r="AO48" s="2"/>
      <c r="AP48" s="57"/>
      <c r="AQ48" s="5"/>
      <c r="AR48" s="5"/>
      <c r="AS48" s="2"/>
      <c r="AT48" s="57"/>
      <c r="AU48" s="5"/>
      <c r="AV48" s="5"/>
      <c r="AW48" s="23"/>
      <c r="AX48" s="23"/>
    </row>
    <row r="49" spans="1:50">
      <c r="A49" s="2">
        <v>41944</v>
      </c>
      <c r="B49">
        <f t="shared" si="1"/>
        <v>2014</v>
      </c>
      <c r="C49">
        <f t="shared" si="2"/>
        <v>11</v>
      </c>
      <c r="D49" s="69">
        <v>22391892.130000006</v>
      </c>
      <c r="E49" s="69">
        <v>170537.35727284456</v>
      </c>
      <c r="F49" s="69">
        <v>22562429.487272851</v>
      </c>
      <c r="G49" s="63">
        <v>422.10000000000008</v>
      </c>
      <c r="H49" s="63">
        <v>0</v>
      </c>
      <c r="I49" s="66">
        <f t="shared" ref="I49:J49" si="53">I61</f>
        <v>366.25</v>
      </c>
      <c r="J49" s="66">
        <f t="shared" si="53"/>
        <v>1.0000000000000142E-2</v>
      </c>
      <c r="K49" s="25">
        <v>30</v>
      </c>
      <c r="L49" s="25">
        <v>1</v>
      </c>
      <c r="M49" s="25">
        <v>0</v>
      </c>
      <c r="N49" s="30">
        <v>32208</v>
      </c>
      <c r="O49" s="87">
        <v>0</v>
      </c>
      <c r="P49" s="59">
        <v>0</v>
      </c>
      <c r="Q49" s="25">
        <f t="shared" si="41"/>
        <v>22136304.395029355</v>
      </c>
      <c r="R49" s="65">
        <f t="shared" si="4"/>
        <v>21965767.03775651</v>
      </c>
      <c r="S49" s="25">
        <f t="shared" si="5"/>
        <v>-426125.09224349633</v>
      </c>
      <c r="T49" s="38">
        <f t="shared" si="6"/>
        <v>1.8886489705546447E-2</v>
      </c>
      <c r="AG49" s="2"/>
      <c r="AK49" s="2"/>
      <c r="AO49" s="2"/>
      <c r="AP49" s="57"/>
      <c r="AQ49" s="5"/>
      <c r="AR49" s="5"/>
      <c r="AS49" s="2"/>
      <c r="AT49" s="57"/>
      <c r="AU49" s="5"/>
      <c r="AV49" s="5"/>
      <c r="AW49" s="23"/>
      <c r="AX49" s="23"/>
    </row>
    <row r="50" spans="1:50">
      <c r="A50" s="2">
        <v>41974</v>
      </c>
      <c r="B50">
        <f t="shared" si="1"/>
        <v>2014</v>
      </c>
      <c r="C50">
        <f t="shared" si="2"/>
        <v>12</v>
      </c>
      <c r="D50" s="69">
        <v>27503240.840000004</v>
      </c>
      <c r="E50" s="69">
        <v>170537.35727284456</v>
      </c>
      <c r="F50" s="69">
        <v>27673778.197272848</v>
      </c>
      <c r="G50" s="63">
        <v>495.30000000000007</v>
      </c>
      <c r="H50" s="63">
        <v>0</v>
      </c>
      <c r="I50" s="66">
        <f t="shared" ref="I50:J50" si="54">I62</f>
        <v>513.3599999999999</v>
      </c>
      <c r="J50" s="66">
        <f t="shared" si="54"/>
        <v>0</v>
      </c>
      <c r="K50" s="25">
        <v>31</v>
      </c>
      <c r="L50" s="25">
        <v>0</v>
      </c>
      <c r="M50" s="25">
        <v>0</v>
      </c>
      <c r="N50" s="30">
        <v>32268</v>
      </c>
      <c r="O50" s="87">
        <v>0</v>
      </c>
      <c r="P50" s="59">
        <v>0</v>
      </c>
      <c r="Q50" s="25">
        <f t="shared" si="41"/>
        <v>27811741.203937884</v>
      </c>
      <c r="R50" s="65">
        <f t="shared" si="4"/>
        <v>27641203.84666504</v>
      </c>
      <c r="S50" s="25">
        <f t="shared" si="5"/>
        <v>137963.00666503608</v>
      </c>
      <c r="T50" s="38">
        <f t="shared" si="6"/>
        <v>4.9853332523504814E-3</v>
      </c>
      <c r="AG50" s="2"/>
      <c r="AK50" s="2"/>
      <c r="AO50" s="2"/>
      <c r="AP50" s="57"/>
      <c r="AQ50" s="5"/>
      <c r="AR50" s="5"/>
      <c r="AS50" s="2"/>
      <c r="AT50" s="57"/>
      <c r="AU50" s="5"/>
      <c r="AV50" s="5"/>
      <c r="AW50" s="23"/>
      <c r="AX50" s="23"/>
    </row>
    <row r="51" spans="1:50">
      <c r="A51" s="2">
        <v>42005</v>
      </c>
      <c r="B51">
        <f t="shared" si="1"/>
        <v>2015</v>
      </c>
      <c r="C51">
        <f t="shared" si="2"/>
        <v>1</v>
      </c>
      <c r="D51" s="69">
        <v>27752175.363855418</v>
      </c>
      <c r="E51" s="69">
        <v>317002.07740110968</v>
      </c>
      <c r="F51" s="69">
        <v>28069177.441256527</v>
      </c>
      <c r="G51" s="63">
        <v>730.39999999999975</v>
      </c>
      <c r="H51" s="63">
        <v>0</v>
      </c>
      <c r="I51" s="66">
        <f t="shared" ref="I51:J51" si="55">I63</f>
        <v>625.5</v>
      </c>
      <c r="J51" s="66">
        <f t="shared" si="55"/>
        <v>0</v>
      </c>
      <c r="K51" s="25">
        <v>31</v>
      </c>
      <c r="L51" s="25">
        <v>0</v>
      </c>
      <c r="M51" s="25">
        <v>0</v>
      </c>
      <c r="N51" s="30">
        <v>32346</v>
      </c>
      <c r="O51" s="87">
        <v>0</v>
      </c>
      <c r="P51" s="59">
        <v>0</v>
      </c>
      <c r="Q51" s="25">
        <f t="shared" si="41"/>
        <v>27267830.852155622</v>
      </c>
      <c r="R51" s="65">
        <f t="shared" si="4"/>
        <v>26950828.774754513</v>
      </c>
      <c r="S51" s="25">
        <f t="shared" si="5"/>
        <v>-801346.58910090476</v>
      </c>
      <c r="T51" s="38">
        <f t="shared" si="6"/>
        <v>2.8548987257570033E-2</v>
      </c>
      <c r="AG51" s="2"/>
      <c r="AK51" s="2"/>
      <c r="AO51" s="2"/>
      <c r="AP51" s="57"/>
      <c r="AQ51" s="5"/>
      <c r="AR51" s="5"/>
      <c r="AS51" s="2"/>
      <c r="AT51" s="57"/>
      <c r="AU51" s="5"/>
      <c r="AV51" s="5"/>
      <c r="AW51" s="23"/>
      <c r="AX51" s="23"/>
    </row>
    <row r="52" spans="1:50">
      <c r="A52" s="2">
        <v>42036</v>
      </c>
      <c r="B52">
        <f t="shared" si="1"/>
        <v>2015</v>
      </c>
      <c r="C52">
        <f t="shared" si="2"/>
        <v>2</v>
      </c>
      <c r="D52" s="69">
        <v>26390163.306024112</v>
      </c>
      <c r="E52" s="69">
        <v>317002.07740110968</v>
      </c>
      <c r="F52" s="69">
        <v>26707165.383425221</v>
      </c>
      <c r="G52" s="63">
        <v>800.8</v>
      </c>
      <c r="H52" s="63">
        <v>0</v>
      </c>
      <c r="I52" s="66">
        <f t="shared" ref="I52:J52" si="56">I64</f>
        <v>573.20999999999992</v>
      </c>
      <c r="J52" s="66">
        <f t="shared" si="56"/>
        <v>0</v>
      </c>
      <c r="K52" s="25">
        <v>28</v>
      </c>
      <c r="L52" s="25">
        <v>0</v>
      </c>
      <c r="M52" s="25">
        <v>0</v>
      </c>
      <c r="N52" s="30">
        <v>32433</v>
      </c>
      <c r="O52" s="87">
        <v>0</v>
      </c>
      <c r="P52" s="59">
        <v>0</v>
      </c>
      <c r="Q52" s="25">
        <f t="shared" si="41"/>
        <v>24968571.768425457</v>
      </c>
      <c r="R52" s="65">
        <f t="shared" si="4"/>
        <v>24651569.691024348</v>
      </c>
      <c r="S52" s="25">
        <f t="shared" si="5"/>
        <v>-1738593.6149997637</v>
      </c>
      <c r="T52" s="38">
        <f t="shared" si="6"/>
        <v>6.5098395506950929E-2</v>
      </c>
      <c r="AG52" s="2"/>
      <c r="AK52" s="2"/>
      <c r="AO52" s="2"/>
      <c r="AP52" s="57"/>
      <c r="AQ52" s="5"/>
      <c r="AR52" s="5"/>
      <c r="AS52" s="2"/>
      <c r="AT52" s="57"/>
      <c r="AU52" s="5"/>
      <c r="AV52" s="5"/>
      <c r="AW52" s="23"/>
      <c r="AX52" s="23"/>
    </row>
    <row r="53" spans="1:50">
      <c r="A53" s="2">
        <v>42064</v>
      </c>
      <c r="B53">
        <f t="shared" si="1"/>
        <v>2015</v>
      </c>
      <c r="C53">
        <f t="shared" si="2"/>
        <v>3</v>
      </c>
      <c r="D53" s="69">
        <v>24161080.125301201</v>
      </c>
      <c r="E53" s="69">
        <v>317002.07740110968</v>
      </c>
      <c r="F53" s="69">
        <v>24478082.20270231</v>
      </c>
      <c r="G53" s="63">
        <v>553.5</v>
      </c>
      <c r="H53" s="63">
        <v>0</v>
      </c>
      <c r="I53" s="66">
        <f t="shared" ref="I53:J53" si="57">I65</f>
        <v>471.05</v>
      </c>
      <c r="J53" s="66">
        <f t="shared" si="57"/>
        <v>0.3</v>
      </c>
      <c r="K53" s="25">
        <v>31</v>
      </c>
      <c r="L53" s="25">
        <v>1</v>
      </c>
      <c r="M53" s="25">
        <v>0</v>
      </c>
      <c r="N53" s="30">
        <v>32524</v>
      </c>
      <c r="O53" s="87">
        <v>0</v>
      </c>
      <c r="P53" s="59">
        <v>0</v>
      </c>
      <c r="Q53" s="25">
        <f t="shared" si="41"/>
        <v>23863873.608583353</v>
      </c>
      <c r="R53" s="65">
        <f t="shared" si="4"/>
        <v>23546871.531182244</v>
      </c>
      <c r="S53" s="25">
        <f t="shared" si="5"/>
        <v>-614208.59411895648</v>
      </c>
      <c r="T53" s="38">
        <f t="shared" si="6"/>
        <v>2.509218610480643E-2</v>
      </c>
      <c r="AG53" s="2"/>
      <c r="AK53" s="2"/>
      <c r="AO53" s="2"/>
      <c r="AP53" s="57"/>
      <c r="AQ53" s="5"/>
      <c r="AR53" s="5"/>
      <c r="AS53" s="2"/>
      <c r="AT53" s="57"/>
      <c r="AU53" s="5"/>
      <c r="AV53" s="5"/>
      <c r="AW53" s="23"/>
      <c r="AX53" s="23"/>
    </row>
    <row r="54" spans="1:50">
      <c r="A54" s="2">
        <v>42095</v>
      </c>
      <c r="B54">
        <f t="shared" si="1"/>
        <v>2015</v>
      </c>
      <c r="C54">
        <f t="shared" si="2"/>
        <v>4</v>
      </c>
      <c r="D54" s="69">
        <v>20359667.007228933</v>
      </c>
      <c r="E54" s="69">
        <v>317002.07740110968</v>
      </c>
      <c r="F54" s="69">
        <v>20676669.084630042</v>
      </c>
      <c r="G54" s="63">
        <v>253.70000000000002</v>
      </c>
      <c r="H54" s="63">
        <v>0</v>
      </c>
      <c r="I54" s="66">
        <f t="shared" ref="I54:J54" si="58">I66</f>
        <v>285.58000000000004</v>
      </c>
      <c r="J54" s="66">
        <f t="shared" si="58"/>
        <v>0.38999999999999985</v>
      </c>
      <c r="K54" s="25">
        <v>30</v>
      </c>
      <c r="L54" s="25">
        <v>1</v>
      </c>
      <c r="M54" s="25">
        <v>0</v>
      </c>
      <c r="N54" s="30">
        <v>32605</v>
      </c>
      <c r="O54" s="87">
        <v>0</v>
      </c>
      <c r="P54" s="59">
        <v>0</v>
      </c>
      <c r="Q54" s="25">
        <f t="shared" si="41"/>
        <v>20940535.981039152</v>
      </c>
      <c r="R54" s="65">
        <f t="shared" si="4"/>
        <v>20623533.903638043</v>
      </c>
      <c r="S54" s="25">
        <f t="shared" si="5"/>
        <v>263866.89640910923</v>
      </c>
      <c r="T54" s="38">
        <f t="shared" si="6"/>
        <v>1.2761576602551237E-2</v>
      </c>
      <c r="AK54" s="2"/>
      <c r="AO54" s="2"/>
      <c r="AP54" s="57"/>
      <c r="AQ54" s="5"/>
      <c r="AR54" s="5"/>
      <c r="AS54" s="2"/>
      <c r="AT54" s="57"/>
      <c r="AU54" s="5"/>
      <c r="AV54" s="5"/>
      <c r="AW54" s="23"/>
      <c r="AX54" s="23"/>
    </row>
    <row r="55" spans="1:50">
      <c r="A55" s="2">
        <v>42125</v>
      </c>
      <c r="B55">
        <f t="shared" si="1"/>
        <v>2015</v>
      </c>
      <c r="C55">
        <f t="shared" si="2"/>
        <v>5</v>
      </c>
      <c r="D55" s="69">
        <v>21429091.180722896</v>
      </c>
      <c r="E55" s="69">
        <v>317002.07740110968</v>
      </c>
      <c r="F55" s="69">
        <v>21746093.258124005</v>
      </c>
      <c r="G55" s="63">
        <v>56.900000000000006</v>
      </c>
      <c r="H55" s="63">
        <v>63.7</v>
      </c>
      <c r="I55" s="66">
        <f t="shared" ref="I55:J55" si="59">I67</f>
        <v>93.759999999999991</v>
      </c>
      <c r="J55" s="66">
        <f t="shared" si="59"/>
        <v>43.35</v>
      </c>
      <c r="K55" s="25">
        <v>31</v>
      </c>
      <c r="L55" s="25">
        <v>1</v>
      </c>
      <c r="M55" s="25">
        <v>0</v>
      </c>
      <c r="N55" s="30">
        <v>32646</v>
      </c>
      <c r="O55" s="87">
        <v>0</v>
      </c>
      <c r="P55" s="59">
        <v>0</v>
      </c>
      <c r="Q55" s="25">
        <f t="shared" si="41"/>
        <v>20966817.915084645</v>
      </c>
      <c r="R55" s="65">
        <f t="shared" si="4"/>
        <v>20649815.837683536</v>
      </c>
      <c r="S55" s="25">
        <f t="shared" si="5"/>
        <v>-779275.3430393599</v>
      </c>
      <c r="T55" s="38">
        <f t="shared" si="6"/>
        <v>3.583518813192961E-2</v>
      </c>
      <c r="AK55" s="2"/>
      <c r="AO55" s="2"/>
      <c r="AP55" s="57"/>
      <c r="AQ55" s="5"/>
      <c r="AR55" s="5"/>
      <c r="AS55" s="2"/>
      <c r="AT55" s="57"/>
      <c r="AU55" s="5"/>
      <c r="AV55" s="5"/>
      <c r="AW55" s="23"/>
      <c r="AX55" s="23"/>
    </row>
    <row r="56" spans="1:50">
      <c r="A56" s="2">
        <v>42156</v>
      </c>
      <c r="B56">
        <f t="shared" si="1"/>
        <v>2015</v>
      </c>
      <c r="C56">
        <f t="shared" si="2"/>
        <v>6</v>
      </c>
      <c r="D56" s="69">
        <v>24790300.809638564</v>
      </c>
      <c r="E56" s="69">
        <v>317002.07740110968</v>
      </c>
      <c r="F56" s="69">
        <v>25107302.887039673</v>
      </c>
      <c r="G56" s="63">
        <v>14.299999999999999</v>
      </c>
      <c r="H56" s="63">
        <v>72.800000000000011</v>
      </c>
      <c r="I56" s="66">
        <f t="shared" ref="I56:J56" si="60">I68</f>
        <v>8.7399999999999984</v>
      </c>
      <c r="J56" s="66">
        <f t="shared" si="60"/>
        <v>118.63000000000002</v>
      </c>
      <c r="K56" s="25">
        <v>30</v>
      </c>
      <c r="L56" s="25">
        <v>0</v>
      </c>
      <c r="M56" s="25">
        <v>0</v>
      </c>
      <c r="N56" s="30">
        <v>32729</v>
      </c>
      <c r="O56" s="87">
        <v>0</v>
      </c>
      <c r="P56" s="59">
        <v>0</v>
      </c>
      <c r="Q56" s="25">
        <f t="shared" si="41"/>
        <v>27453967.002183191</v>
      </c>
      <c r="R56" s="65">
        <f t="shared" si="4"/>
        <v>27136964.924782082</v>
      </c>
      <c r="S56" s="25">
        <f t="shared" si="5"/>
        <v>2346664.1151435189</v>
      </c>
      <c r="T56" s="38">
        <f t="shared" si="6"/>
        <v>9.346540031406006E-2</v>
      </c>
      <c r="AK56" s="2"/>
      <c r="AO56" s="2"/>
      <c r="AP56" s="57"/>
      <c r="AQ56" s="5"/>
      <c r="AR56" s="5"/>
      <c r="AS56" s="2"/>
      <c r="AT56" s="57"/>
      <c r="AU56" s="5"/>
      <c r="AV56" s="5"/>
      <c r="AW56" s="23"/>
      <c r="AX56" s="23"/>
    </row>
    <row r="57" spans="1:50">
      <c r="A57" s="2">
        <v>42186</v>
      </c>
      <c r="B57">
        <f t="shared" si="1"/>
        <v>2015</v>
      </c>
      <c r="C57">
        <f t="shared" si="2"/>
        <v>7</v>
      </c>
      <c r="D57" s="69">
        <v>31635963.15180723</v>
      </c>
      <c r="E57" s="69">
        <v>317002.07740110968</v>
      </c>
      <c r="F57" s="69">
        <v>31952965.229208339</v>
      </c>
      <c r="G57" s="63">
        <v>0</v>
      </c>
      <c r="H57" s="63">
        <v>172.30000000000004</v>
      </c>
      <c r="I57" s="66">
        <f t="shared" ref="I57:J57" si="61">I69</f>
        <v>0</v>
      </c>
      <c r="J57" s="66">
        <f t="shared" si="61"/>
        <v>207.41000000000003</v>
      </c>
      <c r="K57" s="25">
        <v>31</v>
      </c>
      <c r="L57" s="25">
        <v>0</v>
      </c>
      <c r="M57" s="25">
        <v>0</v>
      </c>
      <c r="N57" s="30">
        <v>32779</v>
      </c>
      <c r="O57" s="87">
        <v>0</v>
      </c>
      <c r="P57" s="59">
        <v>0</v>
      </c>
      <c r="Q57" s="25">
        <f t="shared" si="41"/>
        <v>33783264.756138906</v>
      </c>
      <c r="R57" s="65">
        <f t="shared" si="4"/>
        <v>33466262.678737797</v>
      </c>
      <c r="S57" s="25">
        <f t="shared" si="5"/>
        <v>1830299.5269305669</v>
      </c>
      <c r="T57" s="38">
        <f t="shared" si="6"/>
        <v>5.7281054005513157E-2</v>
      </c>
      <c r="AK57" s="2"/>
      <c r="AO57" s="2"/>
      <c r="AP57" s="57"/>
      <c r="AQ57" s="5"/>
      <c r="AR57" s="5"/>
      <c r="AS57" s="2"/>
      <c r="AT57" s="57"/>
      <c r="AU57" s="5"/>
      <c r="AV57" s="5"/>
      <c r="AW57" s="23"/>
      <c r="AX57" s="23"/>
    </row>
    <row r="58" spans="1:50">
      <c r="A58" s="2">
        <v>42217</v>
      </c>
      <c r="B58">
        <f t="shared" si="1"/>
        <v>2015</v>
      </c>
      <c r="C58">
        <f t="shared" si="2"/>
        <v>8</v>
      </c>
      <c r="D58" s="69">
        <v>29263075.190361433</v>
      </c>
      <c r="E58" s="69">
        <v>317002.07740110968</v>
      </c>
      <c r="F58" s="69">
        <v>29580077.267762542</v>
      </c>
      <c r="G58" s="63">
        <v>0</v>
      </c>
      <c r="H58" s="63">
        <v>146.20000000000002</v>
      </c>
      <c r="I58" s="66">
        <f t="shared" ref="I58:J58" si="62">I70</f>
        <v>0.29000000000000004</v>
      </c>
      <c r="J58" s="66">
        <f t="shared" si="62"/>
        <v>180.75000000000006</v>
      </c>
      <c r="K58" s="25">
        <v>31</v>
      </c>
      <c r="L58" s="25">
        <v>0</v>
      </c>
      <c r="M58" s="25">
        <v>0</v>
      </c>
      <c r="N58" s="30">
        <v>32817</v>
      </c>
      <c r="O58" s="87">
        <v>0</v>
      </c>
      <c r="P58" s="59">
        <v>0</v>
      </c>
      <c r="Q58" s="25">
        <f t="shared" si="41"/>
        <v>31383399.104645722</v>
      </c>
      <c r="R58" s="65">
        <f t="shared" si="4"/>
        <v>31066397.027244613</v>
      </c>
      <c r="S58" s="25">
        <f t="shared" si="5"/>
        <v>1803321.8368831798</v>
      </c>
      <c r="T58" s="38">
        <f t="shared" si="6"/>
        <v>6.0964067827115061E-2</v>
      </c>
      <c r="AK58" s="2"/>
      <c r="AO58" s="2"/>
      <c r="AP58" s="57"/>
      <c r="AQ58" s="5"/>
      <c r="AR58" s="5"/>
      <c r="AS58" s="2"/>
      <c r="AT58" s="57"/>
      <c r="AU58" s="5"/>
      <c r="AV58" s="5"/>
      <c r="AW58" s="23"/>
      <c r="AX58" s="23"/>
    </row>
    <row r="59" spans="1:50">
      <c r="A59" s="2">
        <v>42248</v>
      </c>
      <c r="B59">
        <f t="shared" si="1"/>
        <v>2015</v>
      </c>
      <c r="C59">
        <f t="shared" si="2"/>
        <v>9</v>
      </c>
      <c r="D59" s="69">
        <v>26291769.465060253</v>
      </c>
      <c r="E59" s="69">
        <v>317002.07740110968</v>
      </c>
      <c r="F59" s="69">
        <v>26608771.542461362</v>
      </c>
      <c r="G59" s="63">
        <v>12.9</v>
      </c>
      <c r="H59" s="63">
        <v>123.69999999999999</v>
      </c>
      <c r="I59" s="66">
        <f t="shared" ref="I59:J59" si="63">I71</f>
        <v>27</v>
      </c>
      <c r="J59" s="66">
        <f t="shared" si="63"/>
        <v>80.61</v>
      </c>
      <c r="K59" s="25">
        <v>30</v>
      </c>
      <c r="L59" s="25">
        <v>1</v>
      </c>
      <c r="M59" s="25">
        <v>1</v>
      </c>
      <c r="N59" s="30">
        <v>32876</v>
      </c>
      <c r="O59" s="87">
        <v>0</v>
      </c>
      <c r="P59" s="59">
        <v>0</v>
      </c>
      <c r="Q59" s="25">
        <f t="shared" si="41"/>
        <v>24470183.136615414</v>
      </c>
      <c r="R59" s="65">
        <f t="shared" si="4"/>
        <v>24153181.059214305</v>
      </c>
      <c r="S59" s="25">
        <f t="shared" si="5"/>
        <v>-2138588.4058459476</v>
      </c>
      <c r="T59" s="38">
        <f t="shared" si="6"/>
        <v>8.0371557267619881E-2</v>
      </c>
      <c r="AG59"/>
      <c r="AH59"/>
      <c r="AK59" s="2"/>
      <c r="AO59" s="2"/>
      <c r="AP59" s="57"/>
      <c r="AQ59" s="5"/>
      <c r="AR59" s="5"/>
      <c r="AS59" s="2"/>
      <c r="AT59" s="57"/>
      <c r="AU59" s="5"/>
      <c r="AV59" s="5"/>
      <c r="AW59" s="23"/>
      <c r="AX59" s="23"/>
    </row>
    <row r="60" spans="1:50">
      <c r="A60" s="2">
        <v>42278</v>
      </c>
      <c r="B60">
        <f t="shared" si="1"/>
        <v>2015</v>
      </c>
      <c r="C60">
        <f t="shared" si="2"/>
        <v>10</v>
      </c>
      <c r="D60" s="69">
        <v>21166911.199999988</v>
      </c>
      <c r="E60" s="69">
        <v>317002.07740110968</v>
      </c>
      <c r="F60" s="69">
        <v>21483913.277401097</v>
      </c>
      <c r="G60" s="63">
        <v>190.60000000000002</v>
      </c>
      <c r="H60" s="63">
        <v>2.7999999999999972</v>
      </c>
      <c r="I60" s="66">
        <f t="shared" ref="I60:J60" si="64">I72</f>
        <v>167.57</v>
      </c>
      <c r="J60" s="66">
        <f t="shared" si="64"/>
        <v>9.9699999999999989</v>
      </c>
      <c r="K60" s="25">
        <v>31</v>
      </c>
      <c r="L60" s="25">
        <v>1</v>
      </c>
      <c r="M60" s="25">
        <v>0</v>
      </c>
      <c r="N60" s="30">
        <v>32908</v>
      </c>
      <c r="O60" s="87">
        <v>0</v>
      </c>
      <c r="P60" s="59">
        <v>0</v>
      </c>
      <c r="Q60" s="25">
        <f t="shared" si="41"/>
        <v>21681758.916458927</v>
      </c>
      <c r="R60" s="65">
        <f t="shared" si="4"/>
        <v>21364756.839057818</v>
      </c>
      <c r="S60" s="25">
        <f t="shared" si="5"/>
        <v>197845.63905782998</v>
      </c>
      <c r="T60" s="38">
        <f t="shared" si="6"/>
        <v>9.2090131114960123E-3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K60" s="2"/>
      <c r="AO60" s="2"/>
      <c r="AP60" s="57"/>
      <c r="AQ60" s="5"/>
      <c r="AR60" s="5"/>
      <c r="AS60" s="2"/>
      <c r="AT60" s="57"/>
      <c r="AU60" s="5"/>
      <c r="AV60" s="5"/>
      <c r="AW60" s="23"/>
      <c r="AX60" s="23"/>
    </row>
    <row r="61" spans="1:50">
      <c r="A61" s="2">
        <v>42309</v>
      </c>
      <c r="B61">
        <f t="shared" si="1"/>
        <v>2015</v>
      </c>
      <c r="C61">
        <f t="shared" si="2"/>
        <v>11</v>
      </c>
      <c r="D61" s="69">
        <v>19417085.089156609</v>
      </c>
      <c r="E61" s="69">
        <v>317002.07740110968</v>
      </c>
      <c r="F61" s="69">
        <v>19734087.166557718</v>
      </c>
      <c r="G61" s="63">
        <v>285</v>
      </c>
      <c r="H61" s="63">
        <v>0</v>
      </c>
      <c r="I61" s="66">
        <f t="shared" ref="I61:J61" si="65">I73</f>
        <v>366.25</v>
      </c>
      <c r="J61" s="66">
        <f t="shared" si="65"/>
        <v>1.0000000000000142E-2</v>
      </c>
      <c r="K61" s="25">
        <v>30</v>
      </c>
      <c r="L61" s="25">
        <v>1</v>
      </c>
      <c r="M61" s="25">
        <v>0</v>
      </c>
      <c r="N61" s="30">
        <v>32947</v>
      </c>
      <c r="O61" s="87">
        <v>0</v>
      </c>
      <c r="P61" s="59">
        <v>0</v>
      </c>
      <c r="Q61" s="25">
        <f t="shared" si="41"/>
        <v>20355289.217934188</v>
      </c>
      <c r="R61" s="65">
        <f t="shared" si="4"/>
        <v>20038287.140533078</v>
      </c>
      <c r="S61" s="25">
        <f t="shared" si="5"/>
        <v>621202.05137646943</v>
      </c>
      <c r="T61" s="38">
        <f t="shared" si="6"/>
        <v>3.1478631169177498E-2</v>
      </c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P61" s="5"/>
      <c r="AQ61" s="5"/>
      <c r="AR61" s="5"/>
      <c r="AS61" s="5"/>
      <c r="AT61" s="5"/>
      <c r="AU61" s="5"/>
      <c r="AW61" s="23"/>
      <c r="AX61" s="23"/>
    </row>
    <row r="62" spans="1:50">
      <c r="A62" s="2">
        <v>42339</v>
      </c>
      <c r="B62">
        <f t="shared" si="1"/>
        <v>2015</v>
      </c>
      <c r="C62">
        <f t="shared" si="2"/>
        <v>12</v>
      </c>
      <c r="D62" s="69">
        <v>23283597.985542178</v>
      </c>
      <c r="E62" s="69">
        <v>317002.07740110968</v>
      </c>
      <c r="F62" s="69">
        <v>23600600.062943287</v>
      </c>
      <c r="G62" s="63">
        <v>367.70000000000005</v>
      </c>
      <c r="H62" s="63">
        <v>0</v>
      </c>
      <c r="I62" s="66">
        <f t="shared" ref="I62:J62" si="66">I74</f>
        <v>513.3599999999999</v>
      </c>
      <c r="J62" s="66">
        <f t="shared" si="66"/>
        <v>0</v>
      </c>
      <c r="K62" s="25">
        <v>31</v>
      </c>
      <c r="L62" s="25">
        <v>0</v>
      </c>
      <c r="M62" s="25">
        <v>0</v>
      </c>
      <c r="N62" s="30">
        <v>33001</v>
      </c>
      <c r="O62" s="87">
        <v>0</v>
      </c>
      <c r="P62" s="59">
        <v>0</v>
      </c>
      <c r="Q62" s="25">
        <f t="shared" si="41"/>
        <v>24713318.310497507</v>
      </c>
      <c r="R62" s="65">
        <f t="shared" si="4"/>
        <v>24396316.233096398</v>
      </c>
      <c r="S62" s="25">
        <f t="shared" si="5"/>
        <v>1112718.2475542203</v>
      </c>
      <c r="T62" s="38">
        <f t="shared" si="6"/>
        <v>4.7147879485546038E-2</v>
      </c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P62" s="5"/>
      <c r="AQ62" s="5"/>
      <c r="AR62" s="5"/>
      <c r="AS62" s="5"/>
      <c r="AT62" s="5"/>
    </row>
    <row r="63" spans="1:50">
      <c r="A63" s="2">
        <v>42370</v>
      </c>
      <c r="B63">
        <f t="shared" si="1"/>
        <v>2016</v>
      </c>
      <c r="C63">
        <f t="shared" si="2"/>
        <v>1</v>
      </c>
      <c r="D63" s="69">
        <v>25985111.093975894</v>
      </c>
      <c r="E63" s="69">
        <v>503439.62575630058</v>
      </c>
      <c r="F63" s="69">
        <v>26488550.719732195</v>
      </c>
      <c r="G63" s="63">
        <v>608.4</v>
      </c>
      <c r="H63" s="63">
        <v>0</v>
      </c>
      <c r="I63" s="66">
        <f t="shared" ref="I63:J63" si="67">I75</f>
        <v>625.5</v>
      </c>
      <c r="J63" s="66">
        <f t="shared" si="67"/>
        <v>0</v>
      </c>
      <c r="K63" s="25">
        <v>31</v>
      </c>
      <c r="L63" s="25">
        <v>0</v>
      </c>
      <c r="M63" s="25">
        <v>0</v>
      </c>
      <c r="N63" s="30">
        <v>33068</v>
      </c>
      <c r="O63" s="87">
        <v>0</v>
      </c>
      <c r="P63" s="59">
        <v>0</v>
      </c>
      <c r="Q63" s="25">
        <f t="shared" si="41"/>
        <v>26619180.144647595</v>
      </c>
      <c r="R63" s="65">
        <f t="shared" si="4"/>
        <v>26115740.518891294</v>
      </c>
      <c r="S63" s="25">
        <f t="shared" si="5"/>
        <v>130629.4249153994</v>
      </c>
      <c r="T63" s="38">
        <f t="shared" si="6"/>
        <v>4.93154292575506E-3</v>
      </c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</row>
    <row r="64" spans="1:50">
      <c r="A64" s="2">
        <v>42401</v>
      </c>
      <c r="B64">
        <f t="shared" si="1"/>
        <v>2016</v>
      </c>
      <c r="C64">
        <f t="shared" si="2"/>
        <v>2</v>
      </c>
      <c r="D64" s="69">
        <v>24520177.522891562</v>
      </c>
      <c r="E64" s="69">
        <v>503439.62575630058</v>
      </c>
      <c r="F64" s="69">
        <v>25023617.148647863</v>
      </c>
      <c r="G64" s="63">
        <v>530.40000000000009</v>
      </c>
      <c r="H64" s="63">
        <v>0</v>
      </c>
      <c r="I64" s="66">
        <f t="shared" ref="I64:J64" si="68">I76</f>
        <v>573.20999999999992</v>
      </c>
      <c r="J64" s="66">
        <f t="shared" si="68"/>
        <v>0</v>
      </c>
      <c r="K64" s="25">
        <v>29</v>
      </c>
      <c r="L64" s="25">
        <v>0</v>
      </c>
      <c r="M64" s="25">
        <v>0</v>
      </c>
      <c r="N64" s="30">
        <v>33176</v>
      </c>
      <c r="O64" s="87">
        <v>0</v>
      </c>
      <c r="P64" s="59">
        <v>0</v>
      </c>
      <c r="Q64" s="25">
        <f t="shared" si="41"/>
        <v>25350649.059795715</v>
      </c>
      <c r="R64" s="65">
        <f t="shared" si="4"/>
        <v>24847209.434039414</v>
      </c>
      <c r="S64" s="25">
        <f t="shared" si="5"/>
        <v>327031.9111478515</v>
      </c>
      <c r="T64" s="38">
        <f t="shared" si="6"/>
        <v>1.3068930411026627E-2</v>
      </c>
    </row>
    <row r="65" spans="1:34">
      <c r="A65" s="2">
        <v>42430</v>
      </c>
      <c r="B65">
        <f t="shared" si="1"/>
        <v>2016</v>
      </c>
      <c r="C65">
        <f t="shared" si="2"/>
        <v>3</v>
      </c>
      <c r="D65" s="69">
        <v>22958336.693975914</v>
      </c>
      <c r="E65" s="69">
        <v>503439.62575630058</v>
      </c>
      <c r="F65" s="69">
        <v>23461776.319732215</v>
      </c>
      <c r="G65" s="63">
        <v>414.0999999999998</v>
      </c>
      <c r="H65" s="63">
        <v>0</v>
      </c>
      <c r="I65" s="66">
        <f t="shared" ref="I65:J65" si="69">I77</f>
        <v>471.05</v>
      </c>
      <c r="J65" s="66">
        <f t="shared" si="69"/>
        <v>0.3</v>
      </c>
      <c r="K65" s="25">
        <v>31</v>
      </c>
      <c r="L65" s="25">
        <v>1</v>
      </c>
      <c r="M65" s="25">
        <v>0</v>
      </c>
      <c r="N65" s="30">
        <v>33263</v>
      </c>
      <c r="O65" s="87">
        <v>0</v>
      </c>
      <c r="P65" s="59">
        <v>0</v>
      </c>
      <c r="Q65" s="25">
        <f t="shared" si="41"/>
        <v>23912464.908841729</v>
      </c>
      <c r="R65" s="65">
        <f t="shared" si="4"/>
        <v>23409025.283085428</v>
      </c>
      <c r="S65" s="25">
        <f t="shared" si="5"/>
        <v>450688.58910951391</v>
      </c>
      <c r="T65" s="38">
        <f t="shared" si="6"/>
        <v>1.9209482818675936E-2</v>
      </c>
    </row>
    <row r="66" spans="1:34">
      <c r="A66" s="2">
        <v>42461</v>
      </c>
      <c r="B66">
        <f t="shared" si="1"/>
        <v>2016</v>
      </c>
      <c r="C66">
        <f t="shared" si="2"/>
        <v>4</v>
      </c>
      <c r="D66" s="69">
        <v>21632719.643373489</v>
      </c>
      <c r="E66" s="69">
        <v>503439.62575630058</v>
      </c>
      <c r="F66" s="69">
        <v>22136159.26912979</v>
      </c>
      <c r="G66" s="63">
        <v>335.1</v>
      </c>
      <c r="H66" s="63">
        <v>0.30000000000000071</v>
      </c>
      <c r="I66" s="66">
        <f t="shared" ref="I66:J66" si="70">I78</f>
        <v>285.58000000000004</v>
      </c>
      <c r="J66" s="66">
        <f t="shared" si="70"/>
        <v>0.38999999999999985</v>
      </c>
      <c r="K66" s="25">
        <v>30</v>
      </c>
      <c r="L66" s="25">
        <v>1</v>
      </c>
      <c r="M66" s="25">
        <v>0</v>
      </c>
      <c r="N66" s="30">
        <v>33437</v>
      </c>
      <c r="O66" s="87">
        <v>0</v>
      </c>
      <c r="P66" s="59">
        <v>0</v>
      </c>
      <c r="Q66" s="25">
        <f t="shared" si="41"/>
        <v>21762560.416243333</v>
      </c>
      <c r="R66" s="65">
        <f t="shared" si="4"/>
        <v>21259120.790487032</v>
      </c>
      <c r="S66" s="25">
        <f t="shared" si="5"/>
        <v>-373598.852886457</v>
      </c>
      <c r="T66" s="38">
        <f t="shared" si="6"/>
        <v>1.687731138650882E-2</v>
      </c>
    </row>
    <row r="67" spans="1:34">
      <c r="A67" s="2">
        <v>42491</v>
      </c>
      <c r="B67">
        <f t="shared" si="1"/>
        <v>2016</v>
      </c>
      <c r="C67">
        <f t="shared" si="2"/>
        <v>5</v>
      </c>
      <c r="D67" s="69">
        <v>20564699.585542157</v>
      </c>
      <c r="E67" s="69">
        <v>503439.62575630058</v>
      </c>
      <c r="F67" s="69">
        <v>21068139.211298458</v>
      </c>
      <c r="G67" s="63">
        <v>102.19999999999999</v>
      </c>
      <c r="H67" s="63">
        <v>58.6</v>
      </c>
      <c r="I67" s="66">
        <f t="shared" ref="I67:J67" si="71">I79</f>
        <v>93.759999999999991</v>
      </c>
      <c r="J67" s="66">
        <f t="shared" si="71"/>
        <v>43.35</v>
      </c>
      <c r="K67" s="25">
        <v>31</v>
      </c>
      <c r="L67" s="25">
        <v>1</v>
      </c>
      <c r="M67" s="25">
        <v>0</v>
      </c>
      <c r="N67" s="30">
        <v>33518</v>
      </c>
      <c r="O67" s="87">
        <v>0</v>
      </c>
      <c r="P67" s="59">
        <v>0</v>
      </c>
      <c r="Q67" s="25">
        <f t="shared" si="41"/>
        <v>20208675.691277973</v>
      </c>
      <c r="R67" s="65">
        <f t="shared" si="4"/>
        <v>19705236.065521672</v>
      </c>
      <c r="S67" s="25">
        <f t="shared" si="5"/>
        <v>-859463.52002048492</v>
      </c>
      <c r="T67" s="38">
        <f t="shared" si="6"/>
        <v>4.0794467484796683E-2</v>
      </c>
    </row>
    <row r="68" spans="1:34">
      <c r="A68" s="2">
        <v>42522</v>
      </c>
      <c r="B68">
        <f t="shared" ref="B68:B127" si="72">YEAR(A68)</f>
        <v>2016</v>
      </c>
      <c r="C68">
        <f t="shared" ref="C68:C127" si="73">MONTH(A68)</f>
        <v>6</v>
      </c>
      <c r="D68" s="69">
        <v>29990486.101204813</v>
      </c>
      <c r="E68" s="69">
        <v>503439.62575630058</v>
      </c>
      <c r="F68" s="69">
        <v>30493925.726961114</v>
      </c>
      <c r="G68" s="63">
        <v>9.1999999999999993</v>
      </c>
      <c r="H68" s="63">
        <v>128.70000000000002</v>
      </c>
      <c r="I68" s="66">
        <f t="shared" ref="I68:J68" si="74">I80</f>
        <v>8.7399999999999984</v>
      </c>
      <c r="J68" s="66">
        <f t="shared" si="74"/>
        <v>118.63000000000002</v>
      </c>
      <c r="K68" s="25">
        <v>30</v>
      </c>
      <c r="L68" s="25">
        <v>0</v>
      </c>
      <c r="M68" s="25">
        <v>0</v>
      </c>
      <c r="N68" s="30">
        <v>33555</v>
      </c>
      <c r="O68" s="87">
        <v>0</v>
      </c>
      <c r="P68" s="59">
        <v>0</v>
      </c>
      <c r="Q68" s="25">
        <f t="shared" si="41"/>
        <v>29965458.2517597</v>
      </c>
      <c r="R68" s="65">
        <f t="shared" ref="R68:R127" si="75">Q68-E68</f>
        <v>29462018.626003399</v>
      </c>
      <c r="S68" s="25">
        <f t="shared" ref="S68:S127" si="76">+Q68-F68</f>
        <v>-528467.47520141304</v>
      </c>
      <c r="T68" s="38">
        <f t="shared" ref="T68:T127" si="77">ABS(S68/F68)</f>
        <v>1.7330253898210624E-2</v>
      </c>
    </row>
    <row r="69" spans="1:34">
      <c r="A69" s="2">
        <v>42552</v>
      </c>
      <c r="B69">
        <f t="shared" si="72"/>
        <v>2016</v>
      </c>
      <c r="C69">
        <f t="shared" si="73"/>
        <v>7</v>
      </c>
      <c r="D69" s="69">
        <v>35728630.342168637</v>
      </c>
      <c r="E69" s="69">
        <v>503439.62575630058</v>
      </c>
      <c r="F69" s="69">
        <v>36232069.967924938</v>
      </c>
      <c r="G69" s="63">
        <v>0</v>
      </c>
      <c r="H69" s="63">
        <v>238.9</v>
      </c>
      <c r="I69" s="66">
        <f t="shared" ref="I69:J69" si="78">I81</f>
        <v>0</v>
      </c>
      <c r="J69" s="66">
        <f t="shared" si="78"/>
        <v>207.41000000000003</v>
      </c>
      <c r="K69" s="25">
        <v>31</v>
      </c>
      <c r="L69" s="25">
        <v>0</v>
      </c>
      <c r="M69" s="25">
        <v>0</v>
      </c>
      <c r="N69" s="30">
        <v>33585</v>
      </c>
      <c r="O69" s="87">
        <v>0</v>
      </c>
      <c r="P69" s="59">
        <v>0</v>
      </c>
      <c r="Q69" s="25">
        <f t="shared" ref="Q69:Q100" si="79">F69+(I69-G69)*$V$10+(J69-H69)*$V$11</f>
        <v>34590482.610959873</v>
      </c>
      <c r="R69" s="65">
        <f t="shared" si="75"/>
        <v>34087042.985203572</v>
      </c>
      <c r="S69" s="25">
        <f t="shared" si="76"/>
        <v>-1641587.356965065</v>
      </c>
      <c r="T69" s="38">
        <f t="shared" si="77"/>
        <v>4.5307578573852071E-2</v>
      </c>
    </row>
    <row r="70" spans="1:34">
      <c r="A70" s="2">
        <v>42583</v>
      </c>
      <c r="B70">
        <f t="shared" si="72"/>
        <v>2016</v>
      </c>
      <c r="C70">
        <f t="shared" si="73"/>
        <v>8</v>
      </c>
      <c r="D70" s="69">
        <v>36163152.231325291</v>
      </c>
      <c r="E70" s="69">
        <v>503439.62575630058</v>
      </c>
      <c r="F70" s="69">
        <v>36666591.857081592</v>
      </c>
      <c r="G70" s="63">
        <v>0</v>
      </c>
      <c r="H70" s="63">
        <v>257.40000000000003</v>
      </c>
      <c r="I70" s="66">
        <f t="shared" ref="I70:J70" si="80">I82</f>
        <v>0.29000000000000004</v>
      </c>
      <c r="J70" s="66">
        <f t="shared" si="80"/>
        <v>180.75000000000006</v>
      </c>
      <c r="K70" s="25">
        <v>31</v>
      </c>
      <c r="L70" s="25">
        <v>0</v>
      </c>
      <c r="M70" s="25">
        <v>0</v>
      </c>
      <c r="N70" s="30">
        <v>33654</v>
      </c>
      <c r="O70" s="87">
        <v>0</v>
      </c>
      <c r="P70" s="59">
        <v>0</v>
      </c>
      <c r="Q70" s="25">
        <f t="shared" si="79"/>
        <v>32673009.46740029</v>
      </c>
      <c r="R70" s="65">
        <f t="shared" si="75"/>
        <v>32169569.841643989</v>
      </c>
      <c r="S70" s="25">
        <f t="shared" si="76"/>
        <v>-3993582.389681302</v>
      </c>
      <c r="T70" s="38">
        <f t="shared" si="77"/>
        <v>0.10891610557227185</v>
      </c>
    </row>
    <row r="71" spans="1:34">
      <c r="A71" s="2">
        <v>42614</v>
      </c>
      <c r="B71">
        <f t="shared" si="72"/>
        <v>2016</v>
      </c>
      <c r="C71">
        <f t="shared" si="73"/>
        <v>9</v>
      </c>
      <c r="D71" s="69">
        <v>26948392.906024113</v>
      </c>
      <c r="E71" s="69">
        <v>503439.62575630058</v>
      </c>
      <c r="F71" s="69">
        <v>27451832.531780414</v>
      </c>
      <c r="G71" s="63">
        <v>8.3999999999999986</v>
      </c>
      <c r="H71" s="63">
        <v>111.89999999999999</v>
      </c>
      <c r="I71" s="66">
        <f t="shared" ref="I71:J71" si="81">I83</f>
        <v>27</v>
      </c>
      <c r="J71" s="66">
        <f t="shared" si="81"/>
        <v>80.61</v>
      </c>
      <c r="K71" s="25">
        <v>30</v>
      </c>
      <c r="L71" s="25">
        <v>1</v>
      </c>
      <c r="M71" s="25">
        <v>1</v>
      </c>
      <c r="N71" s="30">
        <v>33716</v>
      </c>
      <c r="O71" s="87">
        <v>0</v>
      </c>
      <c r="P71" s="59">
        <v>0</v>
      </c>
      <c r="Q71" s="25">
        <f t="shared" si="79"/>
        <v>25962759.407952979</v>
      </c>
      <c r="R71" s="65">
        <f t="shared" si="75"/>
        <v>25459319.782196678</v>
      </c>
      <c r="S71" s="25">
        <f t="shared" si="76"/>
        <v>-1489073.1238274351</v>
      </c>
      <c r="T71" s="38">
        <f t="shared" si="77"/>
        <v>5.4243122826265464E-2</v>
      </c>
    </row>
    <row r="72" spans="1:34">
      <c r="A72" s="2">
        <v>42644</v>
      </c>
      <c r="B72">
        <f t="shared" si="72"/>
        <v>2016</v>
      </c>
      <c r="C72">
        <f t="shared" si="73"/>
        <v>10</v>
      </c>
      <c r="D72" s="69">
        <v>19412813.638554234</v>
      </c>
      <c r="E72" s="69">
        <v>503439.62575630058</v>
      </c>
      <c r="F72" s="69">
        <v>19916253.264310535</v>
      </c>
      <c r="G72" s="63">
        <v>144.70000000000002</v>
      </c>
      <c r="H72" s="63">
        <v>16.600000000000005</v>
      </c>
      <c r="I72" s="66">
        <f t="shared" ref="I72:J72" si="82">I84</f>
        <v>167.57</v>
      </c>
      <c r="J72" s="66">
        <f t="shared" si="82"/>
        <v>9.9699999999999989</v>
      </c>
      <c r="K72" s="25">
        <v>31</v>
      </c>
      <c r="L72" s="25">
        <v>1</v>
      </c>
      <c r="M72" s="25">
        <v>0</v>
      </c>
      <c r="N72" s="30">
        <v>33751</v>
      </c>
      <c r="O72" s="87">
        <v>0</v>
      </c>
      <c r="P72" s="59">
        <v>0</v>
      </c>
      <c r="Q72" s="25">
        <f t="shared" si="79"/>
        <v>19745335.79582151</v>
      </c>
      <c r="R72" s="65">
        <f t="shared" si="75"/>
        <v>19241896.170065209</v>
      </c>
      <c r="S72" s="25">
        <f t="shared" si="76"/>
        <v>-170917.46848902479</v>
      </c>
      <c r="T72" s="38">
        <f t="shared" si="77"/>
        <v>8.5818083462166524E-3</v>
      </c>
    </row>
    <row r="73" spans="1:34">
      <c r="A73" s="2">
        <v>42675</v>
      </c>
      <c r="B73">
        <f t="shared" si="72"/>
        <v>2016</v>
      </c>
      <c r="C73">
        <f t="shared" si="73"/>
        <v>11</v>
      </c>
      <c r="D73" s="69">
        <v>19369741.908433728</v>
      </c>
      <c r="E73" s="69">
        <v>503439.62575630058</v>
      </c>
      <c r="F73" s="69">
        <v>19873181.534190029</v>
      </c>
      <c r="G73" s="63">
        <v>277.79999999999995</v>
      </c>
      <c r="H73" s="63">
        <v>0</v>
      </c>
      <c r="I73" s="66">
        <f t="shared" ref="I73:J73" si="83">I85</f>
        <v>366.25</v>
      </c>
      <c r="J73" s="66">
        <f t="shared" si="83"/>
        <v>1.0000000000000142E-2</v>
      </c>
      <c r="K73" s="25">
        <v>30</v>
      </c>
      <c r="L73" s="25">
        <v>1</v>
      </c>
      <c r="M73" s="25">
        <v>0</v>
      </c>
      <c r="N73" s="30">
        <v>33815</v>
      </c>
      <c r="O73" s="87">
        <v>0</v>
      </c>
      <c r="P73" s="59">
        <v>0</v>
      </c>
      <c r="Q73" s="25">
        <f t="shared" si="79"/>
        <v>20549385.448688772</v>
      </c>
      <c r="R73" s="65">
        <f t="shared" si="75"/>
        <v>20045945.822932471</v>
      </c>
      <c r="S73" s="25">
        <f t="shared" si="76"/>
        <v>676203.91449874267</v>
      </c>
      <c r="T73" s="38">
        <f t="shared" si="77"/>
        <v>3.4025951674390653E-2</v>
      </c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</row>
    <row r="74" spans="1:34">
      <c r="A74" s="2">
        <v>42705</v>
      </c>
      <c r="B74">
        <f t="shared" si="72"/>
        <v>2016</v>
      </c>
      <c r="C74">
        <f t="shared" si="73"/>
        <v>12</v>
      </c>
      <c r="D74" s="69">
        <v>27474754.322891567</v>
      </c>
      <c r="E74" s="69">
        <v>503439.62575630058</v>
      </c>
      <c r="F74" s="69">
        <v>27978193.948647868</v>
      </c>
      <c r="G74" s="63">
        <v>545.99999999999989</v>
      </c>
      <c r="H74" s="63">
        <v>0</v>
      </c>
      <c r="I74" s="66">
        <f t="shared" ref="I74:J74" si="84">I86</f>
        <v>513.3599999999999</v>
      </c>
      <c r="J74" s="66">
        <f t="shared" si="84"/>
        <v>0</v>
      </c>
      <c r="K74" s="25">
        <v>31</v>
      </c>
      <c r="L74" s="25">
        <v>0</v>
      </c>
      <c r="M74" s="25">
        <v>0</v>
      </c>
      <c r="N74" s="30">
        <v>33857</v>
      </c>
      <c r="O74" s="87">
        <v>0</v>
      </c>
      <c r="P74" s="59">
        <v>0</v>
      </c>
      <c r="Q74" s="25">
        <f t="shared" si="79"/>
        <v>27728852.169160228</v>
      </c>
      <c r="R74" s="65">
        <f t="shared" si="75"/>
        <v>27225412.543403927</v>
      </c>
      <c r="S74" s="25">
        <f t="shared" si="76"/>
        <v>-249341.77948763967</v>
      </c>
      <c r="T74" s="38">
        <f t="shared" si="77"/>
        <v>8.9120041109619179E-3</v>
      </c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>
      <c r="A75" s="2">
        <v>42736</v>
      </c>
      <c r="B75">
        <f t="shared" si="72"/>
        <v>2017</v>
      </c>
      <c r="C75">
        <f t="shared" si="73"/>
        <v>1</v>
      </c>
      <c r="D75" s="69">
        <v>26135142.110843364</v>
      </c>
      <c r="E75" s="69">
        <v>958479.98780037428</v>
      </c>
      <c r="F75" s="69">
        <v>27093622.098643739</v>
      </c>
      <c r="G75" s="63">
        <v>546.9</v>
      </c>
      <c r="H75" s="63">
        <v>0</v>
      </c>
      <c r="I75" s="66">
        <f t="shared" ref="I75:J75" si="85">I87</f>
        <v>625.5</v>
      </c>
      <c r="J75" s="66">
        <f t="shared" si="85"/>
        <v>0</v>
      </c>
      <c r="K75" s="25">
        <v>31</v>
      </c>
      <c r="L75" s="25">
        <v>0</v>
      </c>
      <c r="M75" s="25">
        <v>0</v>
      </c>
      <c r="N75" s="30">
        <v>33886</v>
      </c>
      <c r="O75" s="87">
        <v>0</v>
      </c>
      <c r="P75" s="59">
        <v>0</v>
      </c>
      <c r="Q75" s="25">
        <f t="shared" si="79"/>
        <v>27694059.104395229</v>
      </c>
      <c r="R75" s="65">
        <f t="shared" si="75"/>
        <v>26735579.116594855</v>
      </c>
      <c r="S75" s="25">
        <f t="shared" si="76"/>
        <v>600437.00575149059</v>
      </c>
      <c r="T75" s="38">
        <f t="shared" si="77"/>
        <v>2.2161562731088193E-2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spans="1:34">
      <c r="A76" s="2">
        <v>42767</v>
      </c>
      <c r="B76">
        <f t="shared" si="72"/>
        <v>2017</v>
      </c>
      <c r="C76">
        <f t="shared" si="73"/>
        <v>2</v>
      </c>
      <c r="D76" s="69">
        <v>22110279.383132529</v>
      </c>
      <c r="E76" s="69">
        <v>958479.98780037428</v>
      </c>
      <c r="F76" s="69">
        <v>23068759.370932903</v>
      </c>
      <c r="G76" s="63">
        <v>454.4</v>
      </c>
      <c r="H76" s="63">
        <v>0</v>
      </c>
      <c r="I76" s="66">
        <f t="shared" ref="I76:J76" si="86">I88</f>
        <v>573.20999999999992</v>
      </c>
      <c r="J76" s="66">
        <f t="shared" si="86"/>
        <v>0</v>
      </c>
      <c r="K76" s="25">
        <v>28</v>
      </c>
      <c r="L76" s="25">
        <v>0</v>
      </c>
      <c r="M76" s="25">
        <v>0</v>
      </c>
      <c r="N76" s="30">
        <v>33938</v>
      </c>
      <c r="O76" s="87">
        <v>0</v>
      </c>
      <c r="P76" s="59">
        <v>0</v>
      </c>
      <c r="Q76" s="25">
        <f t="shared" si="79"/>
        <v>23976366.503926978</v>
      </c>
      <c r="R76" s="65">
        <f t="shared" si="75"/>
        <v>23017886.516126603</v>
      </c>
      <c r="S76" s="25">
        <f t="shared" si="76"/>
        <v>907607.13299407437</v>
      </c>
      <c r="T76" s="38">
        <f t="shared" si="77"/>
        <v>3.9343560631079168E-2</v>
      </c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1:34">
      <c r="A77" s="2">
        <v>42795</v>
      </c>
      <c r="B77">
        <f t="shared" si="72"/>
        <v>2017</v>
      </c>
      <c r="C77">
        <f t="shared" si="73"/>
        <v>3</v>
      </c>
      <c r="D77" s="69">
        <v>24430975.248192772</v>
      </c>
      <c r="E77" s="69">
        <v>958479.98780037428</v>
      </c>
      <c r="F77" s="69">
        <v>25389455.235993147</v>
      </c>
      <c r="G77" s="63">
        <v>512</v>
      </c>
      <c r="H77" s="63">
        <v>0</v>
      </c>
      <c r="I77" s="66">
        <f t="shared" ref="I77:J77" si="87">I89</f>
        <v>471.05</v>
      </c>
      <c r="J77" s="66">
        <f t="shared" si="87"/>
        <v>0.3</v>
      </c>
      <c r="K77" s="25">
        <v>31</v>
      </c>
      <c r="L77" s="25">
        <v>1</v>
      </c>
      <c r="M77" s="25">
        <v>0</v>
      </c>
      <c r="N77" s="30">
        <v>33998</v>
      </c>
      <c r="O77" s="87">
        <v>0</v>
      </c>
      <c r="P77" s="59">
        <v>0</v>
      </c>
      <c r="Q77" s="25">
        <f t="shared" si="79"/>
        <v>25092271.269592851</v>
      </c>
      <c r="R77" s="65">
        <f t="shared" si="75"/>
        <v>24133791.281792477</v>
      </c>
      <c r="S77" s="25">
        <f t="shared" si="76"/>
        <v>-297183.9664002955</v>
      </c>
      <c r="T77" s="38">
        <f t="shared" si="77"/>
        <v>1.1705015473470859E-2</v>
      </c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spans="1:34">
      <c r="A78" s="2">
        <v>42826</v>
      </c>
      <c r="B78">
        <f t="shared" si="72"/>
        <v>2017</v>
      </c>
      <c r="C78">
        <f t="shared" si="73"/>
        <v>4</v>
      </c>
      <c r="D78" s="69">
        <v>19400096.75180722</v>
      </c>
      <c r="E78" s="69">
        <v>958479.98780037428</v>
      </c>
      <c r="F78" s="69">
        <v>20358576.739607595</v>
      </c>
      <c r="G78" s="63">
        <v>199.7</v>
      </c>
      <c r="H78" s="63">
        <v>2.1999999999999993</v>
      </c>
      <c r="I78" s="66">
        <f t="shared" ref="I78:J78" si="88">I90</f>
        <v>285.58000000000004</v>
      </c>
      <c r="J78" s="66">
        <f t="shared" si="88"/>
        <v>0.38999999999999985</v>
      </c>
      <c r="K78" s="25">
        <v>30</v>
      </c>
      <c r="L78" s="25">
        <v>1</v>
      </c>
      <c r="M78" s="25">
        <v>0</v>
      </c>
      <c r="N78" s="30">
        <v>34086</v>
      </c>
      <c r="O78" s="87">
        <v>0</v>
      </c>
      <c r="P78" s="59">
        <v>0</v>
      </c>
      <c r="Q78" s="25">
        <f t="shared" si="79"/>
        <v>20920270.655311078</v>
      </c>
      <c r="R78" s="65">
        <f t="shared" si="75"/>
        <v>19961790.667510703</v>
      </c>
      <c r="S78" s="25">
        <f t="shared" si="76"/>
        <v>561693.91570348293</v>
      </c>
      <c r="T78" s="38">
        <f t="shared" si="77"/>
        <v>2.7590038482931269E-2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spans="1:34">
      <c r="A79" s="2">
        <v>42856</v>
      </c>
      <c r="B79">
        <f t="shared" si="72"/>
        <v>2017</v>
      </c>
      <c r="C79">
        <f t="shared" si="73"/>
        <v>5</v>
      </c>
      <c r="D79" s="69">
        <v>20438887.527710862</v>
      </c>
      <c r="E79" s="69">
        <v>958479.98780037428</v>
      </c>
      <c r="F79" s="69">
        <v>21397367.515511237</v>
      </c>
      <c r="G79" s="63">
        <v>125.89999999999998</v>
      </c>
      <c r="H79" s="63">
        <v>19.900000000000002</v>
      </c>
      <c r="I79" s="66">
        <f t="shared" ref="I79:J79" si="89">I91</f>
        <v>93.759999999999991</v>
      </c>
      <c r="J79" s="66">
        <f t="shared" si="89"/>
        <v>43.35</v>
      </c>
      <c r="K79" s="25">
        <v>31</v>
      </c>
      <c r="L79" s="25">
        <v>1</v>
      </c>
      <c r="M79" s="25">
        <v>0</v>
      </c>
      <c r="N79" s="30">
        <v>34202</v>
      </c>
      <c r="O79" s="87">
        <v>0</v>
      </c>
      <c r="P79" s="59">
        <v>0</v>
      </c>
      <c r="Q79" s="25">
        <f t="shared" si="79"/>
        <v>22374303.979931898</v>
      </c>
      <c r="R79" s="65">
        <f t="shared" si="75"/>
        <v>21415823.992131524</v>
      </c>
      <c r="S79" s="25">
        <f t="shared" si="76"/>
        <v>976936.46442066133</v>
      </c>
      <c r="T79" s="38">
        <f t="shared" si="77"/>
        <v>4.5656853055053015E-2</v>
      </c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0" spans="1:34">
      <c r="A80" s="2">
        <v>42887</v>
      </c>
      <c r="B80">
        <f t="shared" si="72"/>
        <v>2017</v>
      </c>
      <c r="C80">
        <f t="shared" si="73"/>
        <v>6</v>
      </c>
      <c r="D80" s="69">
        <v>27578153.118072305</v>
      </c>
      <c r="E80" s="69">
        <v>958479.98780037428</v>
      </c>
      <c r="F80" s="69">
        <v>28536633.10587268</v>
      </c>
      <c r="G80" s="63">
        <v>8.8000000000000007</v>
      </c>
      <c r="H80" s="63">
        <v>110.30000000000001</v>
      </c>
      <c r="I80" s="66">
        <f t="shared" ref="I80:J80" si="90">I92</f>
        <v>8.7399999999999984</v>
      </c>
      <c r="J80" s="66">
        <f t="shared" si="90"/>
        <v>118.63000000000002</v>
      </c>
      <c r="K80" s="25">
        <v>30</v>
      </c>
      <c r="L80" s="25">
        <v>0</v>
      </c>
      <c r="M80" s="25">
        <v>0</v>
      </c>
      <c r="N80" s="30">
        <v>34272</v>
      </c>
      <c r="O80" s="87">
        <v>0</v>
      </c>
      <c r="P80" s="59">
        <v>0</v>
      </c>
      <c r="Q80" s="25">
        <f t="shared" si="79"/>
        <v>28970421.269668743</v>
      </c>
      <c r="R80" s="65">
        <f t="shared" si="75"/>
        <v>28011941.281868368</v>
      </c>
      <c r="S80" s="25">
        <f t="shared" si="76"/>
        <v>433788.16379606351</v>
      </c>
      <c r="T80" s="38">
        <f t="shared" si="77"/>
        <v>1.5201098258041952E-2</v>
      </c>
    </row>
    <row r="81" spans="1:34">
      <c r="A81" s="2">
        <v>42917</v>
      </c>
      <c r="B81">
        <f t="shared" si="72"/>
        <v>2017</v>
      </c>
      <c r="C81">
        <f t="shared" si="73"/>
        <v>7</v>
      </c>
      <c r="D81" s="69">
        <v>28972066.226506032</v>
      </c>
      <c r="E81" s="69">
        <v>958479.98780037428</v>
      </c>
      <c r="F81" s="69">
        <v>29930546.214306407</v>
      </c>
      <c r="G81" s="63">
        <v>0</v>
      </c>
      <c r="H81" s="63">
        <v>178.50000000000003</v>
      </c>
      <c r="I81" s="66">
        <f t="shared" ref="I81:J81" si="91">I93</f>
        <v>0</v>
      </c>
      <c r="J81" s="66">
        <f t="shared" si="91"/>
        <v>207.41000000000003</v>
      </c>
      <c r="K81" s="25">
        <v>31</v>
      </c>
      <c r="L81" s="25">
        <v>0</v>
      </c>
      <c r="M81" s="25">
        <v>0</v>
      </c>
      <c r="N81" s="30">
        <v>34382</v>
      </c>
      <c r="O81" s="87">
        <v>0</v>
      </c>
      <c r="P81" s="59">
        <v>0</v>
      </c>
      <c r="Q81" s="25">
        <f t="shared" si="79"/>
        <v>31437637.052345786</v>
      </c>
      <c r="R81" s="65">
        <f t="shared" si="75"/>
        <v>30479157.064545412</v>
      </c>
      <c r="S81" s="25">
        <f t="shared" si="76"/>
        <v>1507090.8380393796</v>
      </c>
      <c r="T81" s="38">
        <f t="shared" si="77"/>
        <v>5.0352934665756618E-2</v>
      </c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</row>
    <row r="82" spans="1:34">
      <c r="A82" s="2">
        <v>42948</v>
      </c>
      <c r="B82">
        <f t="shared" si="72"/>
        <v>2017</v>
      </c>
      <c r="C82">
        <f t="shared" si="73"/>
        <v>8</v>
      </c>
      <c r="D82" s="69">
        <v>29587012.925301205</v>
      </c>
      <c r="E82" s="69">
        <v>958479.98780037428</v>
      </c>
      <c r="F82" s="69">
        <v>30545492.91310158</v>
      </c>
      <c r="G82" s="63">
        <v>1.9000000000000004</v>
      </c>
      <c r="H82" s="63">
        <v>127.49999999999999</v>
      </c>
      <c r="I82" s="66">
        <f t="shared" ref="I82:J82" si="92">I94</f>
        <v>0.29000000000000004</v>
      </c>
      <c r="J82" s="66">
        <f t="shared" si="92"/>
        <v>180.75000000000006</v>
      </c>
      <c r="K82" s="25">
        <v>31</v>
      </c>
      <c r="L82" s="25">
        <v>0</v>
      </c>
      <c r="M82" s="25">
        <v>0</v>
      </c>
      <c r="N82" s="30">
        <v>34485</v>
      </c>
      <c r="O82" s="87">
        <v>0</v>
      </c>
      <c r="P82" s="59">
        <v>0</v>
      </c>
      <c r="Q82" s="25">
        <f t="shared" si="79"/>
        <v>33309139.479481373</v>
      </c>
      <c r="R82" s="65">
        <f t="shared" si="75"/>
        <v>32350659.491680998</v>
      </c>
      <c r="S82" s="25">
        <f t="shared" si="76"/>
        <v>2763646.566379793</v>
      </c>
      <c r="T82" s="38">
        <f t="shared" si="77"/>
        <v>9.0476410848633226E-2</v>
      </c>
    </row>
    <row r="83" spans="1:34">
      <c r="A83" s="2">
        <v>42979</v>
      </c>
      <c r="B83">
        <f t="shared" si="72"/>
        <v>2017</v>
      </c>
      <c r="C83">
        <f t="shared" si="73"/>
        <v>9</v>
      </c>
      <c r="D83" s="69">
        <v>25857618.775903624</v>
      </c>
      <c r="E83" s="69">
        <v>958479.98780037428</v>
      </c>
      <c r="F83" s="69">
        <v>26816098.763703998</v>
      </c>
      <c r="G83" s="63">
        <v>25.2</v>
      </c>
      <c r="H83" s="63">
        <v>107.6</v>
      </c>
      <c r="I83" s="66">
        <f t="shared" ref="I83:J83" si="93">I95</f>
        <v>27</v>
      </c>
      <c r="J83" s="66">
        <f t="shared" si="93"/>
        <v>80.61</v>
      </c>
      <c r="K83" s="25">
        <v>30</v>
      </c>
      <c r="L83" s="25">
        <v>1</v>
      </c>
      <c r="M83" s="25">
        <v>1</v>
      </c>
      <c r="N83" s="30">
        <v>34561</v>
      </c>
      <c r="O83" s="87">
        <v>0</v>
      </c>
      <c r="P83" s="59">
        <v>0</v>
      </c>
      <c r="Q83" s="25">
        <f t="shared" si="79"/>
        <v>25422848.82413407</v>
      </c>
      <c r="R83" s="65">
        <f t="shared" si="75"/>
        <v>24464368.836333696</v>
      </c>
      <c r="S83" s="25">
        <f t="shared" si="76"/>
        <v>-1393249.9395699278</v>
      </c>
      <c r="T83" s="38">
        <f t="shared" si="77"/>
        <v>5.1955728230525203E-2</v>
      </c>
    </row>
    <row r="84" spans="1:34">
      <c r="A84" s="2">
        <v>43009</v>
      </c>
      <c r="B84">
        <f t="shared" si="72"/>
        <v>2017</v>
      </c>
      <c r="C84">
        <f t="shared" si="73"/>
        <v>10</v>
      </c>
      <c r="D84" s="69">
        <v>20602579.845783144</v>
      </c>
      <c r="E84" s="69">
        <v>958479.98780037428</v>
      </c>
      <c r="F84" s="69">
        <v>21561059.833583519</v>
      </c>
      <c r="G84" s="63">
        <v>103.3</v>
      </c>
      <c r="H84" s="63">
        <v>19.399999999999999</v>
      </c>
      <c r="I84" s="66">
        <f t="shared" ref="I84:J84" si="94">I96</f>
        <v>167.57</v>
      </c>
      <c r="J84" s="66">
        <f t="shared" si="94"/>
        <v>9.9699999999999989</v>
      </c>
      <c r="K84" s="25">
        <v>31</v>
      </c>
      <c r="L84" s="25">
        <v>1</v>
      </c>
      <c r="M84" s="25">
        <v>0</v>
      </c>
      <c r="N84" s="30">
        <v>34637</v>
      </c>
      <c r="O84" s="87">
        <v>0</v>
      </c>
      <c r="P84" s="59">
        <v>0</v>
      </c>
      <c r="Q84" s="25">
        <f t="shared" si="79"/>
        <v>21560437.863709617</v>
      </c>
      <c r="R84" s="65">
        <f t="shared" si="75"/>
        <v>20601957.875909243</v>
      </c>
      <c r="S84" s="25">
        <f t="shared" si="76"/>
        <v>-621.96987390145659</v>
      </c>
      <c r="T84" s="38">
        <f t="shared" si="77"/>
        <v>2.8846906353493625E-5</v>
      </c>
    </row>
    <row r="85" spans="1:34">
      <c r="A85" s="2">
        <v>43040</v>
      </c>
      <c r="B85">
        <f t="shared" si="72"/>
        <v>2017</v>
      </c>
      <c r="C85">
        <f t="shared" si="73"/>
        <v>11</v>
      </c>
      <c r="D85" s="69">
        <v>22620692.693975899</v>
      </c>
      <c r="E85" s="69">
        <v>958479.98780037428</v>
      </c>
      <c r="F85" s="69">
        <v>23579172.681776274</v>
      </c>
      <c r="G85" s="63">
        <v>369.4</v>
      </c>
      <c r="H85" s="63">
        <v>0</v>
      </c>
      <c r="I85" s="66">
        <f t="shared" ref="I85:J85" si="95">I97</f>
        <v>366.25</v>
      </c>
      <c r="J85" s="66">
        <f t="shared" si="95"/>
        <v>1.0000000000000142E-2</v>
      </c>
      <c r="K85" s="25">
        <v>30</v>
      </c>
      <c r="L85" s="25">
        <v>1</v>
      </c>
      <c r="M85" s="25">
        <v>0</v>
      </c>
      <c r="N85" s="30">
        <v>34794</v>
      </c>
      <c r="O85" s="87">
        <v>0</v>
      </c>
      <c r="P85" s="59">
        <v>0</v>
      </c>
      <c r="Q85" s="25">
        <f t="shared" si="79"/>
        <v>23555630.670997199</v>
      </c>
      <c r="R85" s="65">
        <f t="shared" si="75"/>
        <v>22597150.683196824</v>
      </c>
      <c r="S85" s="25">
        <f t="shared" si="76"/>
        <v>-23542.010779075325</v>
      </c>
      <c r="T85" s="38">
        <f t="shared" si="77"/>
        <v>9.9842395222247689E-4</v>
      </c>
    </row>
    <row r="86" spans="1:34">
      <c r="A86" s="2">
        <v>43070</v>
      </c>
      <c r="B86">
        <f t="shared" si="72"/>
        <v>2017</v>
      </c>
      <c r="C86">
        <f t="shared" si="73"/>
        <v>12</v>
      </c>
      <c r="D86" s="69">
        <v>26519901.040963847</v>
      </c>
      <c r="E86" s="69">
        <v>958479.98780037428</v>
      </c>
      <c r="F86" s="69">
        <v>27478381.028764222</v>
      </c>
      <c r="G86" s="63">
        <v>656.49999999999989</v>
      </c>
      <c r="H86" s="63">
        <v>0</v>
      </c>
      <c r="I86" s="66">
        <f t="shared" ref="I86:J86" si="96">I98</f>
        <v>513.3599999999999</v>
      </c>
      <c r="J86" s="66">
        <f t="shared" si="96"/>
        <v>0</v>
      </c>
      <c r="K86" s="25">
        <v>31</v>
      </c>
      <c r="L86" s="25">
        <v>0</v>
      </c>
      <c r="M86" s="25">
        <v>0</v>
      </c>
      <c r="N86" s="30">
        <v>34878</v>
      </c>
      <c r="O86" s="87">
        <v>0</v>
      </c>
      <c r="P86" s="59">
        <v>0</v>
      </c>
      <c r="Q86" s="25">
        <f t="shared" si="79"/>
        <v>26384913.433302797</v>
      </c>
      <c r="R86" s="65">
        <f t="shared" si="75"/>
        <v>25426433.445502423</v>
      </c>
      <c r="S86" s="25">
        <f t="shared" si="76"/>
        <v>-1093467.5954614244</v>
      </c>
      <c r="T86" s="38">
        <f t="shared" si="77"/>
        <v>3.9793741644268944E-2</v>
      </c>
    </row>
    <row r="87" spans="1:34">
      <c r="A87" s="2">
        <v>43101</v>
      </c>
      <c r="B87">
        <f t="shared" si="72"/>
        <v>2018</v>
      </c>
      <c r="C87">
        <f t="shared" si="73"/>
        <v>1</v>
      </c>
      <c r="D87" s="69">
        <v>28325353.78313252</v>
      </c>
      <c r="E87" s="69">
        <v>1281849.6400688274</v>
      </c>
      <c r="F87" s="69">
        <v>29607203.423201349</v>
      </c>
      <c r="G87" s="63">
        <v>670.29999999999984</v>
      </c>
      <c r="H87" s="63">
        <v>0</v>
      </c>
      <c r="I87" s="66">
        <f t="shared" ref="I87:J87" si="97">I99</f>
        <v>625.5</v>
      </c>
      <c r="J87" s="66">
        <f t="shared" si="97"/>
        <v>0</v>
      </c>
      <c r="K87" s="25">
        <v>31</v>
      </c>
      <c r="L87" s="25">
        <v>0</v>
      </c>
      <c r="M87" s="25">
        <v>0</v>
      </c>
      <c r="N87" s="30">
        <v>34927</v>
      </c>
      <c r="O87" s="87">
        <v>0</v>
      </c>
      <c r="P87" s="59">
        <v>0</v>
      </c>
      <c r="Q87" s="25">
        <f t="shared" si="79"/>
        <v>29264969.608218312</v>
      </c>
      <c r="R87" s="65">
        <f t="shared" si="75"/>
        <v>27983119.968149483</v>
      </c>
      <c r="S87" s="25">
        <f t="shared" si="76"/>
        <v>-342233.81498303637</v>
      </c>
      <c r="T87" s="38">
        <f t="shared" si="77"/>
        <v>1.1559140189338136E-2</v>
      </c>
    </row>
    <row r="88" spans="1:34">
      <c r="A88" s="2">
        <v>43132</v>
      </c>
      <c r="B88">
        <f t="shared" si="72"/>
        <v>2018</v>
      </c>
      <c r="C88">
        <f t="shared" si="73"/>
        <v>2</v>
      </c>
      <c r="D88" s="69">
        <v>22897439.132530119</v>
      </c>
      <c r="E88" s="69">
        <v>1281849.6400688274</v>
      </c>
      <c r="F88" s="69">
        <v>24179288.772598948</v>
      </c>
      <c r="G88" s="63">
        <v>499.00000000000011</v>
      </c>
      <c r="H88" s="63">
        <v>0</v>
      </c>
      <c r="I88" s="66">
        <f t="shared" ref="I88:J88" si="98">I100</f>
        <v>573.20999999999992</v>
      </c>
      <c r="J88" s="66">
        <f t="shared" si="98"/>
        <v>0</v>
      </c>
      <c r="K88" s="25">
        <v>28</v>
      </c>
      <c r="L88" s="25">
        <v>0</v>
      </c>
      <c r="M88" s="25">
        <v>0</v>
      </c>
      <c r="N88" s="30">
        <v>35069</v>
      </c>
      <c r="O88" s="87">
        <v>0</v>
      </c>
      <c r="P88" s="59">
        <v>0</v>
      </c>
      <c r="Q88" s="25">
        <f t="shared" si="79"/>
        <v>24746189.92014116</v>
      </c>
      <c r="R88" s="65">
        <f t="shared" si="75"/>
        <v>23464340.280072331</v>
      </c>
      <c r="S88" s="25">
        <f t="shared" si="76"/>
        <v>566901.14754221216</v>
      </c>
      <c r="T88" s="38">
        <f t="shared" si="77"/>
        <v>2.344573295243696E-2</v>
      </c>
    </row>
    <row r="89" spans="1:34">
      <c r="A89" s="2">
        <v>43160</v>
      </c>
      <c r="B89">
        <f t="shared" si="72"/>
        <v>2018</v>
      </c>
      <c r="C89">
        <f t="shared" si="73"/>
        <v>3</v>
      </c>
      <c r="D89" s="69">
        <v>24842177.96626506</v>
      </c>
      <c r="E89" s="69">
        <v>1281849.6400688274</v>
      </c>
      <c r="F89" s="69">
        <v>26124027.606333889</v>
      </c>
      <c r="G89" s="63">
        <v>492</v>
      </c>
      <c r="H89" s="63">
        <v>0</v>
      </c>
      <c r="I89" s="66">
        <f t="shared" ref="I89:J89" si="99">I101</f>
        <v>471.05</v>
      </c>
      <c r="J89" s="66">
        <f t="shared" si="99"/>
        <v>0.3</v>
      </c>
      <c r="K89" s="25">
        <v>31</v>
      </c>
      <c r="L89" s="25">
        <v>1</v>
      </c>
      <c r="M89" s="25">
        <v>0</v>
      </c>
      <c r="N89" s="30">
        <v>35293</v>
      </c>
      <c r="O89" s="87">
        <v>0</v>
      </c>
      <c r="P89" s="59">
        <v>0</v>
      </c>
      <c r="Q89" s="25">
        <f t="shared" si="79"/>
        <v>25979626.59305102</v>
      </c>
      <c r="R89" s="65">
        <f t="shared" si="75"/>
        <v>24697776.952982191</v>
      </c>
      <c r="S89" s="25">
        <f t="shared" si="76"/>
        <v>-144401.01328286901</v>
      </c>
      <c r="T89" s="38">
        <f t="shared" si="77"/>
        <v>5.5275172518902994E-3</v>
      </c>
    </row>
    <row r="90" spans="1:34">
      <c r="A90" s="2">
        <v>43191</v>
      </c>
      <c r="B90">
        <f t="shared" si="72"/>
        <v>2018</v>
      </c>
      <c r="C90">
        <f t="shared" si="73"/>
        <v>4</v>
      </c>
      <c r="D90" s="69">
        <v>21016838.76626505</v>
      </c>
      <c r="E90" s="69">
        <v>1281849.6400688274</v>
      </c>
      <c r="F90" s="69">
        <v>22298688.406333879</v>
      </c>
      <c r="G90" s="63">
        <v>377.2</v>
      </c>
      <c r="H90" s="63">
        <v>0</v>
      </c>
      <c r="I90" s="66">
        <f t="shared" ref="I90:J90" si="100">I102</f>
        <v>285.58000000000004</v>
      </c>
      <c r="J90" s="66">
        <f t="shared" si="100"/>
        <v>0.38999999999999985</v>
      </c>
      <c r="K90" s="25">
        <v>30</v>
      </c>
      <c r="L90" s="25">
        <v>1</v>
      </c>
      <c r="M90" s="25">
        <v>0</v>
      </c>
      <c r="N90" s="30">
        <v>35464</v>
      </c>
      <c r="O90" s="87">
        <v>0</v>
      </c>
      <c r="P90" s="59">
        <v>0</v>
      </c>
      <c r="Q90" s="25">
        <f t="shared" si="79"/>
        <v>21619120.567242872</v>
      </c>
      <c r="R90" s="65">
        <f t="shared" si="75"/>
        <v>20337270.927174043</v>
      </c>
      <c r="S90" s="25">
        <f t="shared" si="76"/>
        <v>-679567.83909100667</v>
      </c>
      <c r="T90" s="38">
        <f t="shared" si="77"/>
        <v>3.0475686583340812E-2</v>
      </c>
    </row>
    <row r="91" spans="1:34">
      <c r="A91" s="2">
        <v>43221</v>
      </c>
      <c r="B91">
        <f t="shared" si="72"/>
        <v>2018</v>
      </c>
      <c r="C91">
        <f t="shared" si="73"/>
        <v>5</v>
      </c>
      <c r="D91" s="69">
        <v>23626890.708433751</v>
      </c>
      <c r="E91" s="69">
        <v>1281849.6400688274</v>
      </c>
      <c r="F91" s="69">
        <v>24908740.34850258</v>
      </c>
      <c r="G91" s="63">
        <v>39.300000000000004</v>
      </c>
      <c r="H91" s="63">
        <v>69.399999999999991</v>
      </c>
      <c r="I91" s="66">
        <f t="shared" ref="I91:J91" si="101">I103</f>
        <v>93.759999999999991</v>
      </c>
      <c r="J91" s="66">
        <f t="shared" si="101"/>
        <v>43.35</v>
      </c>
      <c r="K91" s="25">
        <v>31</v>
      </c>
      <c r="L91" s="25">
        <v>1</v>
      </c>
      <c r="M91" s="25">
        <v>0</v>
      </c>
      <c r="N91" s="30">
        <v>35588</v>
      </c>
      <c r="O91" s="87">
        <v>0</v>
      </c>
      <c r="P91" s="59">
        <v>0</v>
      </c>
      <c r="Q91" s="25">
        <f t="shared" si="79"/>
        <v>23966770.532161437</v>
      </c>
      <c r="R91" s="65">
        <f t="shared" si="75"/>
        <v>22684920.892092608</v>
      </c>
      <c r="S91" s="25">
        <f t="shared" si="76"/>
        <v>-941969.8163411431</v>
      </c>
      <c r="T91" s="38">
        <f t="shared" si="77"/>
        <v>3.7816838714518568E-2</v>
      </c>
    </row>
    <row r="92" spans="1:34">
      <c r="A92" s="2">
        <v>43252</v>
      </c>
      <c r="B92">
        <f t="shared" si="72"/>
        <v>2018</v>
      </c>
      <c r="C92">
        <f t="shared" si="73"/>
        <v>6</v>
      </c>
      <c r="D92" s="69">
        <v>32759189.532530148</v>
      </c>
      <c r="E92" s="69">
        <v>1281849.6400688274</v>
      </c>
      <c r="F92" s="69">
        <v>34041039.172598973</v>
      </c>
      <c r="G92" s="63">
        <v>5.6999999999999993</v>
      </c>
      <c r="H92" s="63">
        <v>111.39999999999998</v>
      </c>
      <c r="I92" s="66">
        <f t="shared" ref="I92:J92" si="102">I104</f>
        <v>8.7399999999999984</v>
      </c>
      <c r="J92" s="66">
        <f t="shared" si="102"/>
        <v>118.63000000000002</v>
      </c>
      <c r="K92" s="25">
        <v>30</v>
      </c>
      <c r="L92" s="25">
        <v>0</v>
      </c>
      <c r="M92" s="25">
        <v>0</v>
      </c>
      <c r="N92" s="30">
        <v>35766</v>
      </c>
      <c r="O92" s="87">
        <v>0</v>
      </c>
      <c r="P92" s="59">
        <v>0</v>
      </c>
      <c r="Q92" s="25">
        <f t="shared" si="79"/>
        <v>34441165.217066899</v>
      </c>
      <c r="R92" s="65">
        <f t="shared" si="75"/>
        <v>33159315.57699807</v>
      </c>
      <c r="S92" s="25">
        <f t="shared" si="76"/>
        <v>400126.04446792603</v>
      </c>
      <c r="T92" s="38">
        <f t="shared" si="77"/>
        <v>1.1754225317246011E-2</v>
      </c>
    </row>
    <row r="93" spans="1:34">
      <c r="A93" s="2">
        <v>43282</v>
      </c>
      <c r="B93">
        <f t="shared" si="72"/>
        <v>2018</v>
      </c>
      <c r="C93">
        <f t="shared" si="73"/>
        <v>7</v>
      </c>
      <c r="D93" s="69">
        <v>33985677.465060242</v>
      </c>
      <c r="E93" s="69">
        <v>1281849.6400688274</v>
      </c>
      <c r="F93" s="69">
        <v>35267527.105129071</v>
      </c>
      <c r="G93" s="63">
        <v>0</v>
      </c>
      <c r="H93" s="63">
        <v>229.79999999999998</v>
      </c>
      <c r="I93" s="66">
        <f t="shared" ref="I93:J93" si="103">I105</f>
        <v>0</v>
      </c>
      <c r="J93" s="66">
        <f t="shared" si="103"/>
        <v>207.41000000000003</v>
      </c>
      <c r="K93" s="25">
        <v>31</v>
      </c>
      <c r="L93" s="25">
        <v>0</v>
      </c>
      <c r="M93" s="25">
        <v>0</v>
      </c>
      <c r="N93" s="30">
        <v>35939</v>
      </c>
      <c r="O93" s="87">
        <v>0</v>
      </c>
      <c r="P93" s="59">
        <v>0</v>
      </c>
      <c r="Q93" s="25">
        <f t="shared" si="79"/>
        <v>34100326.694762357</v>
      </c>
      <c r="R93" s="65">
        <f t="shared" si="75"/>
        <v>32818477.054693528</v>
      </c>
      <c r="S93" s="25">
        <f t="shared" si="76"/>
        <v>-1167200.410366714</v>
      </c>
      <c r="T93" s="38">
        <f t="shared" si="77"/>
        <v>3.3095612484748446E-2</v>
      </c>
    </row>
    <row r="94" spans="1:34">
      <c r="A94" s="2">
        <v>43313</v>
      </c>
      <c r="B94">
        <f t="shared" si="72"/>
        <v>2018</v>
      </c>
      <c r="C94">
        <f t="shared" si="73"/>
        <v>8</v>
      </c>
      <c r="D94" s="69">
        <v>36600647.12289153</v>
      </c>
      <c r="E94" s="69">
        <v>1281849.6400688274</v>
      </c>
      <c r="F94" s="69">
        <v>37882496.762960359</v>
      </c>
      <c r="G94" s="63">
        <v>0</v>
      </c>
      <c r="H94" s="63">
        <v>223.20000000000002</v>
      </c>
      <c r="I94" s="66">
        <f t="shared" ref="I94:J94" si="104">I106</f>
        <v>0.29000000000000004</v>
      </c>
      <c r="J94" s="66">
        <f t="shared" si="104"/>
        <v>180.75000000000006</v>
      </c>
      <c r="K94" s="25">
        <v>31</v>
      </c>
      <c r="L94" s="25">
        <v>0</v>
      </c>
      <c r="M94" s="25">
        <v>0</v>
      </c>
      <c r="N94" s="30">
        <v>36069</v>
      </c>
      <c r="O94" s="87">
        <v>0</v>
      </c>
      <c r="P94" s="59">
        <v>0</v>
      </c>
      <c r="Q94" s="25">
        <f t="shared" si="79"/>
        <v>35671775.205549791</v>
      </c>
      <c r="R94" s="65">
        <f t="shared" si="75"/>
        <v>34389925.565480962</v>
      </c>
      <c r="S94" s="25">
        <f t="shared" si="76"/>
        <v>-2210721.557410568</v>
      </c>
      <c r="T94" s="38">
        <f t="shared" si="77"/>
        <v>5.8357335083892958E-2</v>
      </c>
    </row>
    <row r="95" spans="1:34">
      <c r="A95" s="2">
        <v>43344</v>
      </c>
      <c r="B95">
        <f t="shared" si="72"/>
        <v>2018</v>
      </c>
      <c r="C95">
        <f t="shared" si="73"/>
        <v>9</v>
      </c>
      <c r="D95" s="69">
        <v>27341665.600000009</v>
      </c>
      <c r="E95" s="69">
        <v>1281849.6400688274</v>
      </c>
      <c r="F95" s="69">
        <v>28623515.240068838</v>
      </c>
      <c r="G95" s="63">
        <v>25.1</v>
      </c>
      <c r="H95" s="63">
        <v>114.89999999999998</v>
      </c>
      <c r="I95" s="66">
        <f t="shared" ref="I95:J95" si="105">I107</f>
        <v>27</v>
      </c>
      <c r="J95" s="66">
        <f t="shared" si="105"/>
        <v>80.61</v>
      </c>
      <c r="K95" s="25">
        <v>30</v>
      </c>
      <c r="L95" s="25">
        <v>1</v>
      </c>
      <c r="M95" s="25">
        <v>1</v>
      </c>
      <c r="N95" s="30">
        <v>36128</v>
      </c>
      <c r="O95" s="87">
        <v>0</v>
      </c>
      <c r="P95" s="59">
        <v>0</v>
      </c>
      <c r="Q95" s="25">
        <f t="shared" si="79"/>
        <v>26850477.049311973</v>
      </c>
      <c r="R95" s="65">
        <f t="shared" si="75"/>
        <v>25568627.409243144</v>
      </c>
      <c r="S95" s="25">
        <f t="shared" si="76"/>
        <v>-1773038.1907568648</v>
      </c>
      <c r="T95" s="38">
        <f t="shared" si="77"/>
        <v>6.1943411767778414E-2</v>
      </c>
    </row>
    <row r="96" spans="1:34">
      <c r="A96" s="2">
        <v>43374</v>
      </c>
      <c r="B96">
        <f t="shared" si="72"/>
        <v>2018</v>
      </c>
      <c r="C96">
        <f t="shared" si="73"/>
        <v>10</v>
      </c>
      <c r="D96" s="69">
        <v>21787579.980722882</v>
      </c>
      <c r="E96" s="69">
        <v>1281849.6400688274</v>
      </c>
      <c r="F96" s="69">
        <v>23069429.620791711</v>
      </c>
      <c r="G96" s="63">
        <v>231.4</v>
      </c>
      <c r="H96" s="63">
        <v>12.2</v>
      </c>
      <c r="I96" s="66">
        <f t="shared" ref="I96:J96" si="106">I108</f>
        <v>167.57</v>
      </c>
      <c r="J96" s="66">
        <f t="shared" si="106"/>
        <v>9.9699999999999989</v>
      </c>
      <c r="K96" s="25">
        <v>31</v>
      </c>
      <c r="L96" s="25">
        <v>1</v>
      </c>
      <c r="M96" s="25">
        <v>0</v>
      </c>
      <c r="N96" s="30">
        <v>36344</v>
      </c>
      <c r="O96" s="87">
        <v>0</v>
      </c>
      <c r="P96" s="59">
        <v>0</v>
      </c>
      <c r="Q96" s="25">
        <f t="shared" si="79"/>
        <v>22465571.958783999</v>
      </c>
      <c r="R96" s="65">
        <f t="shared" si="75"/>
        <v>21183722.31871517</v>
      </c>
      <c r="S96" s="25">
        <f t="shared" si="76"/>
        <v>-603857.66200771183</v>
      </c>
      <c r="T96" s="38">
        <f t="shared" si="77"/>
        <v>2.6175665022228161E-2</v>
      </c>
    </row>
    <row r="97" spans="1:41">
      <c r="A97" s="2">
        <v>43405</v>
      </c>
      <c r="B97">
        <f t="shared" si="72"/>
        <v>2018</v>
      </c>
      <c r="C97">
        <f t="shared" si="73"/>
        <v>11</v>
      </c>
      <c r="D97" s="69">
        <v>20895540.250602394</v>
      </c>
      <c r="E97" s="69">
        <v>1281849.6400688274</v>
      </c>
      <c r="F97" s="69">
        <v>22177389.890671223</v>
      </c>
      <c r="G97" s="63">
        <v>434.10000000000008</v>
      </c>
      <c r="H97" s="63">
        <v>0</v>
      </c>
      <c r="I97" s="66">
        <f t="shared" ref="I97:J97" si="107">I109</f>
        <v>366.25</v>
      </c>
      <c r="J97" s="66">
        <f t="shared" si="107"/>
        <v>1.0000000000000142E-2</v>
      </c>
      <c r="K97" s="25">
        <v>30</v>
      </c>
      <c r="L97" s="25">
        <v>1</v>
      </c>
      <c r="M97" s="25">
        <v>0</v>
      </c>
      <c r="N97" s="30">
        <v>36437</v>
      </c>
      <c r="O97" s="87">
        <v>0</v>
      </c>
      <c r="P97" s="59">
        <v>0</v>
      </c>
      <c r="Q97" s="25">
        <f t="shared" si="79"/>
        <v>21659595.02655727</v>
      </c>
      <c r="R97" s="65">
        <f t="shared" si="75"/>
        <v>20377745.386488441</v>
      </c>
      <c r="S97" s="25">
        <f t="shared" si="76"/>
        <v>-517794.86411395296</v>
      </c>
      <c r="T97" s="38">
        <f t="shared" si="77"/>
        <v>2.3347872164693289E-2</v>
      </c>
    </row>
    <row r="98" spans="1:41">
      <c r="A98" s="2">
        <v>43435</v>
      </c>
      <c r="B98">
        <f t="shared" si="72"/>
        <v>2018</v>
      </c>
      <c r="C98">
        <f t="shared" si="73"/>
        <v>12</v>
      </c>
      <c r="D98" s="69">
        <v>29544191.980722886</v>
      </c>
      <c r="E98" s="69">
        <v>1281849.6400688274</v>
      </c>
      <c r="F98" s="69">
        <v>30826041.620791715</v>
      </c>
      <c r="G98" s="63">
        <v>501.6</v>
      </c>
      <c r="H98" s="63">
        <v>0</v>
      </c>
      <c r="I98" s="66">
        <f t="shared" ref="I98:J98" si="108">I110</f>
        <v>513.3599999999999</v>
      </c>
      <c r="J98" s="66">
        <f t="shared" si="108"/>
        <v>0</v>
      </c>
      <c r="K98" s="25">
        <v>31</v>
      </c>
      <c r="L98" s="25">
        <v>0</v>
      </c>
      <c r="M98" s="25">
        <v>0</v>
      </c>
      <c r="N98" s="30">
        <v>36530</v>
      </c>
      <c r="O98" s="87">
        <v>0</v>
      </c>
      <c r="P98" s="59">
        <v>0</v>
      </c>
      <c r="Q98" s="25">
        <f t="shared" si="79"/>
        <v>30915877.997224759</v>
      </c>
      <c r="R98" s="65">
        <f t="shared" si="75"/>
        <v>29634028.35715593</v>
      </c>
      <c r="S98" s="25">
        <f t="shared" si="76"/>
        <v>89836.376433044672</v>
      </c>
      <c r="T98" s="38">
        <f t="shared" si="77"/>
        <v>2.9143014058753279E-3</v>
      </c>
    </row>
    <row r="99" spans="1:41" s="9" customFormat="1">
      <c r="A99" s="2">
        <v>43466</v>
      </c>
      <c r="B99">
        <f t="shared" si="72"/>
        <v>2019</v>
      </c>
      <c r="C99">
        <f t="shared" si="73"/>
        <v>1</v>
      </c>
      <c r="D99" s="69">
        <v>28887987.922891602</v>
      </c>
      <c r="E99" s="69">
        <v>1408690.5797202766</v>
      </c>
      <c r="F99" s="69">
        <v>30296678.502611879</v>
      </c>
      <c r="G99" s="63">
        <v>702.49999999999989</v>
      </c>
      <c r="H99" s="63">
        <v>0</v>
      </c>
      <c r="I99" s="66">
        <f t="shared" ref="I99:J99" si="109">I111</f>
        <v>625.5</v>
      </c>
      <c r="J99" s="66">
        <f t="shared" si="109"/>
        <v>0</v>
      </c>
      <c r="K99" s="25">
        <v>31</v>
      </c>
      <c r="L99" s="25">
        <v>0</v>
      </c>
      <c r="M99" s="25">
        <v>0</v>
      </c>
      <c r="N99" s="30">
        <v>36566</v>
      </c>
      <c r="O99" s="87">
        <v>0</v>
      </c>
      <c r="P99" s="59">
        <v>0</v>
      </c>
      <c r="Q99" s="25">
        <f t="shared" si="79"/>
        <v>29708464.133109786</v>
      </c>
      <c r="R99" s="65">
        <f t="shared" si="75"/>
        <v>28299773.553389508</v>
      </c>
      <c r="S99" s="25">
        <f t="shared" si="76"/>
        <v>-588214.36950209364</v>
      </c>
      <c r="T99" s="38">
        <f t="shared" si="77"/>
        <v>1.9415143790478009E-2</v>
      </c>
      <c r="U99"/>
      <c r="V99"/>
      <c r="W99"/>
      <c r="X99"/>
      <c r="Y99"/>
      <c r="Z99"/>
      <c r="AA99"/>
      <c r="AB99"/>
      <c r="AC99"/>
      <c r="AD99"/>
      <c r="AE99"/>
      <c r="AF99"/>
      <c r="AG99" s="29"/>
      <c r="AH99" s="29"/>
      <c r="AI99" s="29"/>
      <c r="AJ99" s="29"/>
      <c r="AK99" s="29"/>
      <c r="AL99" s="29"/>
      <c r="AM99" s="29"/>
      <c r="AN99" s="29"/>
      <c r="AO99" s="29"/>
    </row>
    <row r="100" spans="1:41">
      <c r="A100" s="2">
        <v>43497</v>
      </c>
      <c r="B100">
        <f t="shared" si="72"/>
        <v>2019</v>
      </c>
      <c r="C100">
        <f t="shared" si="73"/>
        <v>2</v>
      </c>
      <c r="D100" s="69">
        <v>25855133.050602406</v>
      </c>
      <c r="E100" s="69">
        <v>1408690.5797202766</v>
      </c>
      <c r="F100" s="69">
        <v>27263823.630322684</v>
      </c>
      <c r="G100" s="63">
        <v>565.70000000000005</v>
      </c>
      <c r="H100" s="63">
        <v>0</v>
      </c>
      <c r="I100" s="66">
        <f t="shared" ref="I100:J100" si="110">I112</f>
        <v>573.20999999999992</v>
      </c>
      <c r="J100" s="66">
        <f t="shared" si="110"/>
        <v>0</v>
      </c>
      <c r="K100" s="25">
        <v>28</v>
      </c>
      <c r="L100" s="25">
        <v>0</v>
      </c>
      <c r="M100" s="25">
        <v>0</v>
      </c>
      <c r="N100" s="30">
        <v>36622</v>
      </c>
      <c r="O100" s="87">
        <v>0</v>
      </c>
      <c r="P100" s="59">
        <v>0</v>
      </c>
      <c r="Q100" s="25">
        <f t="shared" si="79"/>
        <v>27321193.629218277</v>
      </c>
      <c r="R100" s="65">
        <f t="shared" si="75"/>
        <v>25912503.049497999</v>
      </c>
      <c r="S100" s="25">
        <f t="shared" si="76"/>
        <v>57369.998895592988</v>
      </c>
      <c r="T100" s="38">
        <f t="shared" si="77"/>
        <v>2.1042535952949157E-3</v>
      </c>
    </row>
    <row r="101" spans="1:41">
      <c r="A101" s="2">
        <v>43525</v>
      </c>
      <c r="B101">
        <f t="shared" si="72"/>
        <v>2019</v>
      </c>
      <c r="C101">
        <f t="shared" si="73"/>
        <v>3</v>
      </c>
      <c r="D101" s="69">
        <v>23881199.306024097</v>
      </c>
      <c r="E101" s="69">
        <v>1408690.5797202766</v>
      </c>
      <c r="F101" s="69">
        <v>25289889.885744374</v>
      </c>
      <c r="G101" s="63">
        <v>531.9</v>
      </c>
      <c r="H101" s="63">
        <v>0</v>
      </c>
      <c r="I101" s="66">
        <f t="shared" ref="I101:J101" si="111">I113</f>
        <v>471.05</v>
      </c>
      <c r="J101" s="66">
        <f t="shared" si="111"/>
        <v>0.3</v>
      </c>
      <c r="K101" s="25">
        <v>31</v>
      </c>
      <c r="L101" s="25">
        <v>1</v>
      </c>
      <c r="M101" s="25">
        <v>0</v>
      </c>
      <c r="N101" s="30">
        <v>36709</v>
      </c>
      <c r="O101" s="87">
        <v>0</v>
      </c>
      <c r="P101" s="59">
        <v>0</v>
      </c>
      <c r="Q101" s="25">
        <f t="shared" ref="Q101:Q134" si="112">F101+(I101-G101)*$V$10+(J101-H101)*$V$11</f>
        <v>24840686.880992241</v>
      </c>
      <c r="R101" s="65">
        <f t="shared" si="75"/>
        <v>23431996.301271964</v>
      </c>
      <c r="S101" s="25">
        <f t="shared" si="76"/>
        <v>-449203.00475213304</v>
      </c>
      <c r="T101" s="38">
        <f t="shared" si="77"/>
        <v>1.7762157398927374E-2</v>
      </c>
    </row>
    <row r="102" spans="1:41">
      <c r="A102" s="2">
        <v>43556</v>
      </c>
      <c r="B102">
        <f t="shared" si="72"/>
        <v>2019</v>
      </c>
      <c r="C102">
        <f t="shared" si="73"/>
        <v>4</v>
      </c>
      <c r="D102" s="69">
        <v>22676737.503614482</v>
      </c>
      <c r="E102" s="69">
        <v>1408690.5797202766</v>
      </c>
      <c r="F102" s="69">
        <v>24085428.083334759</v>
      </c>
      <c r="G102" s="63">
        <v>286.80000000000007</v>
      </c>
      <c r="H102" s="63">
        <v>0</v>
      </c>
      <c r="I102" s="66">
        <f t="shared" ref="I102:J102" si="113">I114</f>
        <v>285.58000000000004</v>
      </c>
      <c r="J102" s="66">
        <f t="shared" si="113"/>
        <v>0.38999999999999985</v>
      </c>
      <c r="K102" s="25">
        <v>30</v>
      </c>
      <c r="L102" s="25">
        <v>1</v>
      </c>
      <c r="M102" s="25">
        <v>0</v>
      </c>
      <c r="N102" s="30">
        <v>36807</v>
      </c>
      <c r="O102" s="87">
        <v>0</v>
      </c>
      <c r="P102" s="59">
        <v>0</v>
      </c>
      <c r="Q102" s="25">
        <f t="shared" si="112"/>
        <v>24096439.192334525</v>
      </c>
      <c r="R102" s="65">
        <f t="shared" si="75"/>
        <v>22687748.612614248</v>
      </c>
      <c r="S102" s="25">
        <f t="shared" si="76"/>
        <v>11011.108999766409</v>
      </c>
      <c r="T102" s="38">
        <f t="shared" si="77"/>
        <v>4.5716891398684501E-4</v>
      </c>
    </row>
    <row r="103" spans="1:41">
      <c r="A103" s="2">
        <v>43586</v>
      </c>
      <c r="B103">
        <f t="shared" si="72"/>
        <v>2019</v>
      </c>
      <c r="C103">
        <f t="shared" si="73"/>
        <v>5</v>
      </c>
      <c r="D103" s="69">
        <v>22100464.308433745</v>
      </c>
      <c r="E103" s="69">
        <v>1408690.5797202766</v>
      </c>
      <c r="F103" s="69">
        <v>23509154.888154022</v>
      </c>
      <c r="G103" s="63">
        <v>135.6</v>
      </c>
      <c r="H103" s="63">
        <v>4.6000000000000014</v>
      </c>
      <c r="I103" s="66">
        <f t="shared" ref="I103:J103" si="114">I115</f>
        <v>93.759999999999991</v>
      </c>
      <c r="J103" s="66">
        <f t="shared" si="114"/>
        <v>43.35</v>
      </c>
      <c r="K103" s="25">
        <v>31</v>
      </c>
      <c r="L103" s="25">
        <v>1</v>
      </c>
      <c r="M103" s="25">
        <v>0</v>
      </c>
      <c r="N103" s="30">
        <v>36908</v>
      </c>
      <c r="O103" s="87">
        <v>0</v>
      </c>
      <c r="P103" s="59">
        <v>0</v>
      </c>
      <c r="Q103" s="25">
        <f t="shared" si="112"/>
        <v>25209587.25580227</v>
      </c>
      <c r="R103" s="65">
        <f t="shared" si="75"/>
        <v>23800896.676081993</v>
      </c>
      <c r="S103" s="25">
        <f t="shared" si="76"/>
        <v>1700432.3676482476</v>
      </c>
      <c r="T103" s="38">
        <f t="shared" si="77"/>
        <v>7.2330646326426426E-2</v>
      </c>
    </row>
    <row r="104" spans="1:41">
      <c r="A104" s="2">
        <v>43617</v>
      </c>
      <c r="B104">
        <f t="shared" si="72"/>
        <v>2019</v>
      </c>
      <c r="C104">
        <f t="shared" si="73"/>
        <v>6</v>
      </c>
      <c r="D104" s="69">
        <v>25171611.431325283</v>
      </c>
      <c r="E104" s="69">
        <v>1408690.5797202766</v>
      </c>
      <c r="F104" s="69">
        <v>26580302.01104556</v>
      </c>
      <c r="G104" s="63">
        <v>13.800000000000002</v>
      </c>
      <c r="H104" s="63">
        <v>79.600000000000009</v>
      </c>
      <c r="I104" s="66">
        <f t="shared" ref="I104:J104" si="115">I116</f>
        <v>8.7399999999999984</v>
      </c>
      <c r="J104" s="66">
        <f t="shared" si="115"/>
        <v>118.63000000000002</v>
      </c>
      <c r="K104" s="25">
        <v>30</v>
      </c>
      <c r="L104" s="25">
        <v>0</v>
      </c>
      <c r="M104" s="25">
        <v>0</v>
      </c>
      <c r="N104" s="30">
        <v>37029</v>
      </c>
      <c r="O104" s="87">
        <v>0</v>
      </c>
      <c r="P104" s="59">
        <v>0</v>
      </c>
      <c r="Q104" s="25">
        <f t="shared" si="112"/>
        <v>28576298.750910554</v>
      </c>
      <c r="R104" s="65">
        <f t="shared" si="75"/>
        <v>27167608.171190277</v>
      </c>
      <c r="S104" s="25">
        <f t="shared" si="76"/>
        <v>1995996.7398649938</v>
      </c>
      <c r="T104" s="38">
        <f t="shared" si="77"/>
        <v>7.5093079794035025E-2</v>
      </c>
    </row>
    <row r="105" spans="1:41">
      <c r="A105" s="2">
        <v>43647</v>
      </c>
      <c r="B105">
        <f t="shared" si="72"/>
        <v>2019</v>
      </c>
      <c r="C105">
        <f t="shared" si="73"/>
        <v>7</v>
      </c>
      <c r="D105" s="69">
        <v>37225707.074698806</v>
      </c>
      <c r="E105" s="69">
        <v>1408690.5797202766</v>
      </c>
      <c r="F105" s="69">
        <v>38634397.654419079</v>
      </c>
      <c r="G105" s="63">
        <v>0</v>
      </c>
      <c r="H105" s="63">
        <v>228.9</v>
      </c>
      <c r="I105" s="66">
        <f t="shared" ref="I105:J105" si="116">I117</f>
        <v>0</v>
      </c>
      <c r="J105" s="66">
        <f t="shared" si="116"/>
        <v>207.41000000000003</v>
      </c>
      <c r="K105" s="25">
        <v>31</v>
      </c>
      <c r="L105" s="25">
        <v>0</v>
      </c>
      <c r="M105" s="25">
        <v>0</v>
      </c>
      <c r="N105" s="30">
        <v>37141</v>
      </c>
      <c r="O105" s="87">
        <v>0</v>
      </c>
      <c r="P105" s="59">
        <v>0</v>
      </c>
      <c r="Q105" s="25">
        <f t="shared" si="112"/>
        <v>37514114.634375282</v>
      </c>
      <c r="R105" s="65">
        <f t="shared" si="75"/>
        <v>36105424.054655008</v>
      </c>
      <c r="S105" s="25">
        <f t="shared" si="76"/>
        <v>-1120283.0200437978</v>
      </c>
      <c r="T105" s="38">
        <f t="shared" si="77"/>
        <v>2.8997036010878705E-2</v>
      </c>
    </row>
    <row r="106" spans="1:41">
      <c r="A106" s="2">
        <v>43678</v>
      </c>
      <c r="B106">
        <f t="shared" si="72"/>
        <v>2019</v>
      </c>
      <c r="C106">
        <f t="shared" si="73"/>
        <v>8</v>
      </c>
      <c r="D106" s="69">
        <v>34053660.819277115</v>
      </c>
      <c r="E106" s="69">
        <v>1408690.5797202766</v>
      </c>
      <c r="F106" s="69">
        <v>35462351.398997389</v>
      </c>
      <c r="G106" s="63">
        <v>0</v>
      </c>
      <c r="H106" s="63">
        <v>164.40000000000006</v>
      </c>
      <c r="I106" s="66">
        <f t="shared" ref="I106:J106" si="117">I118</f>
        <v>0.29000000000000004</v>
      </c>
      <c r="J106" s="66">
        <f t="shared" si="117"/>
        <v>180.75000000000006</v>
      </c>
      <c r="K106" s="25">
        <v>31</v>
      </c>
      <c r="L106" s="25">
        <v>0</v>
      </c>
      <c r="M106" s="25">
        <v>0</v>
      </c>
      <c r="N106" s="30">
        <v>37161</v>
      </c>
      <c r="O106" s="87">
        <v>0</v>
      </c>
      <c r="P106" s="59">
        <v>0</v>
      </c>
      <c r="Q106" s="25">
        <f t="shared" si="112"/>
        <v>36316899.342683859</v>
      </c>
      <c r="R106" s="65">
        <f t="shared" si="75"/>
        <v>34908208.762963586</v>
      </c>
      <c r="S106" s="25">
        <f t="shared" si="76"/>
        <v>854547.94368647039</v>
      </c>
      <c r="T106" s="38">
        <f t="shared" si="77"/>
        <v>2.4097328856501902E-2</v>
      </c>
    </row>
    <row r="107" spans="1:41">
      <c r="A107" s="2">
        <v>43709</v>
      </c>
      <c r="B107">
        <f t="shared" si="72"/>
        <v>2019</v>
      </c>
      <c r="C107">
        <f t="shared" si="73"/>
        <v>9</v>
      </c>
      <c r="D107" s="69">
        <v>25049312.13493976</v>
      </c>
      <c r="E107" s="69">
        <v>1408690.5797202766</v>
      </c>
      <c r="F107" s="69">
        <v>26458002.714660037</v>
      </c>
      <c r="G107" s="63">
        <v>11.699999999999998</v>
      </c>
      <c r="H107" s="63">
        <v>58.7</v>
      </c>
      <c r="I107" s="66">
        <f t="shared" ref="I107:J107" si="118">I119</f>
        <v>27</v>
      </c>
      <c r="J107" s="66">
        <f t="shared" si="118"/>
        <v>80.61</v>
      </c>
      <c r="K107" s="25">
        <v>30</v>
      </c>
      <c r="L107" s="25">
        <v>1</v>
      </c>
      <c r="M107" s="25">
        <v>1</v>
      </c>
      <c r="N107" s="30">
        <v>37192</v>
      </c>
      <c r="O107" s="87">
        <v>0</v>
      </c>
      <c r="P107" s="59">
        <v>0</v>
      </c>
      <c r="Q107" s="25">
        <f t="shared" si="112"/>
        <v>27717059.475989364</v>
      </c>
      <c r="R107" s="65">
        <f t="shared" si="75"/>
        <v>26308368.896269087</v>
      </c>
      <c r="S107" s="25">
        <f t="shared" si="76"/>
        <v>1259056.7613293268</v>
      </c>
      <c r="T107" s="38">
        <f t="shared" si="77"/>
        <v>4.7586991917258355E-2</v>
      </c>
    </row>
    <row r="108" spans="1:41">
      <c r="A108" s="2">
        <v>43739</v>
      </c>
      <c r="B108">
        <f t="shared" si="72"/>
        <v>2019</v>
      </c>
      <c r="C108">
        <f t="shared" si="73"/>
        <v>10</v>
      </c>
      <c r="D108" s="69">
        <v>22049631.412048209</v>
      </c>
      <c r="E108" s="69">
        <v>1408690.5797202766</v>
      </c>
      <c r="F108" s="69">
        <v>23458321.991768487</v>
      </c>
      <c r="G108" s="63">
        <v>177.10000000000002</v>
      </c>
      <c r="H108" s="63">
        <v>7.7000000000000028</v>
      </c>
      <c r="I108" s="66">
        <f t="shared" ref="I108:J108" si="119">I120</f>
        <v>167.57</v>
      </c>
      <c r="J108" s="66">
        <f t="shared" si="119"/>
        <v>9.9699999999999989</v>
      </c>
      <c r="K108" s="25">
        <v>31</v>
      </c>
      <c r="L108" s="25">
        <v>1</v>
      </c>
      <c r="M108" s="25">
        <v>0</v>
      </c>
      <c r="N108" s="30">
        <v>37260</v>
      </c>
      <c r="O108" s="87">
        <v>0</v>
      </c>
      <c r="P108" s="59">
        <v>0</v>
      </c>
      <c r="Q108" s="25">
        <f t="shared" si="112"/>
        <v>23503856.999089159</v>
      </c>
      <c r="R108" s="65">
        <f t="shared" si="75"/>
        <v>22095166.419368882</v>
      </c>
      <c r="S108" s="25">
        <f t="shared" si="76"/>
        <v>45535.007320672274</v>
      </c>
      <c r="T108" s="38">
        <f t="shared" si="77"/>
        <v>1.9411024938889698E-3</v>
      </c>
    </row>
    <row r="109" spans="1:41">
      <c r="A109" s="2">
        <v>43770</v>
      </c>
      <c r="B109">
        <f t="shared" si="72"/>
        <v>2019</v>
      </c>
      <c r="C109">
        <f t="shared" si="73"/>
        <v>11</v>
      </c>
      <c r="D109" s="69">
        <v>21315185.031325318</v>
      </c>
      <c r="E109" s="69">
        <v>1408690.5797202766</v>
      </c>
      <c r="F109" s="69">
        <v>22723875.611045595</v>
      </c>
      <c r="G109" s="63">
        <v>453.3</v>
      </c>
      <c r="H109" s="63">
        <v>0</v>
      </c>
      <c r="I109" s="66">
        <f t="shared" ref="I109:J109" si="120">I121</f>
        <v>366.25</v>
      </c>
      <c r="J109" s="66">
        <f t="shared" si="120"/>
        <v>1.0000000000000142E-2</v>
      </c>
      <c r="K109" s="25">
        <v>30</v>
      </c>
      <c r="L109" s="25">
        <v>1</v>
      </c>
      <c r="M109" s="25">
        <v>0</v>
      </c>
      <c r="N109" s="30">
        <v>37298</v>
      </c>
      <c r="O109" s="87">
        <v>0</v>
      </c>
      <c r="P109" s="59">
        <v>0</v>
      </c>
      <c r="Q109" s="25">
        <f t="shared" si="112"/>
        <v>22059409.111938912</v>
      </c>
      <c r="R109" s="65">
        <f t="shared" si="75"/>
        <v>20650718.532218635</v>
      </c>
      <c r="S109" s="25">
        <f t="shared" si="76"/>
        <v>-664466.49910668284</v>
      </c>
      <c r="T109" s="38">
        <f t="shared" si="77"/>
        <v>2.9240896688578058E-2</v>
      </c>
    </row>
    <row r="110" spans="1:41">
      <c r="A110" s="2">
        <v>43800</v>
      </c>
      <c r="B110">
        <f t="shared" si="72"/>
        <v>2019</v>
      </c>
      <c r="C110">
        <f t="shared" si="73"/>
        <v>12</v>
      </c>
      <c r="D110" s="69">
        <v>28146546.1686747</v>
      </c>
      <c r="E110" s="69">
        <v>1408690.5797202766</v>
      </c>
      <c r="F110" s="69">
        <v>29555236.748394977</v>
      </c>
      <c r="G110" s="63">
        <v>520.4</v>
      </c>
      <c r="H110" s="63">
        <v>0</v>
      </c>
      <c r="I110" s="66">
        <f t="shared" ref="I110:J110" si="121">I122</f>
        <v>513.3599999999999</v>
      </c>
      <c r="J110" s="66">
        <f t="shared" si="121"/>
        <v>0</v>
      </c>
      <c r="K110" s="25">
        <v>31</v>
      </c>
      <c r="L110" s="25">
        <v>0</v>
      </c>
      <c r="M110" s="25">
        <v>0</v>
      </c>
      <c r="N110" s="30">
        <v>37321</v>
      </c>
      <c r="O110" s="87">
        <v>0</v>
      </c>
      <c r="P110" s="59">
        <v>0</v>
      </c>
      <c r="Q110" s="25">
        <f t="shared" si="112"/>
        <v>29501457.148897644</v>
      </c>
      <c r="R110" s="65">
        <f t="shared" si="75"/>
        <v>28092766.569177367</v>
      </c>
      <c r="S110" s="25">
        <f t="shared" si="76"/>
        <v>-53779.599497333169</v>
      </c>
      <c r="T110" s="38">
        <f t="shared" si="77"/>
        <v>1.819630137128024E-3</v>
      </c>
    </row>
    <row r="111" spans="1:41">
      <c r="A111" s="2">
        <v>43831</v>
      </c>
      <c r="B111">
        <f t="shared" si="72"/>
        <v>2020</v>
      </c>
      <c r="C111">
        <f t="shared" si="73"/>
        <v>1</v>
      </c>
      <c r="D111" s="69">
        <v>29703689.253012061</v>
      </c>
      <c r="E111" s="69">
        <v>1392643.6565677822</v>
      </c>
      <c r="F111" s="69">
        <v>31096332.909579843</v>
      </c>
      <c r="G111" s="63">
        <v>543</v>
      </c>
      <c r="H111" s="63">
        <v>0</v>
      </c>
      <c r="I111" s="66">
        <f t="shared" ref="I111:J111" si="122">I123</f>
        <v>625.5</v>
      </c>
      <c r="J111" s="66">
        <f t="shared" si="122"/>
        <v>0</v>
      </c>
      <c r="K111" s="25">
        <v>31</v>
      </c>
      <c r="L111" s="25">
        <v>0</v>
      </c>
      <c r="M111" s="25">
        <v>0</v>
      </c>
      <c r="N111" s="30">
        <v>37330</v>
      </c>
      <c r="O111" s="87">
        <v>0</v>
      </c>
      <c r="P111" s="59">
        <v>0</v>
      </c>
      <c r="Q111" s="25">
        <f t="shared" si="112"/>
        <v>31726562.591189232</v>
      </c>
      <c r="R111" s="65">
        <f t="shared" si="75"/>
        <v>30333918.93462145</v>
      </c>
      <c r="S111" s="25">
        <f t="shared" si="76"/>
        <v>630229.68160938844</v>
      </c>
      <c r="T111" s="38">
        <f t="shared" si="77"/>
        <v>2.0267009728829912E-2</v>
      </c>
      <c r="U111" s="11"/>
      <c r="AG111" s="29"/>
      <c r="AH111" s="29"/>
      <c r="AI111" s="29"/>
    </row>
    <row r="112" spans="1:41">
      <c r="A112" s="2">
        <v>43862</v>
      </c>
      <c r="B112">
        <f t="shared" si="72"/>
        <v>2020</v>
      </c>
      <c r="C112">
        <f t="shared" si="73"/>
        <v>2</v>
      </c>
      <c r="D112" s="69">
        <v>25536377.551807232</v>
      </c>
      <c r="E112" s="69">
        <v>1392643.6565677822</v>
      </c>
      <c r="F112" s="69">
        <v>26929021.208375014</v>
      </c>
      <c r="G112" s="63">
        <v>553.80000000000007</v>
      </c>
      <c r="H112" s="63">
        <v>0</v>
      </c>
      <c r="I112" s="66">
        <f t="shared" ref="I112:J112" si="123">I124</f>
        <v>573.20999999999992</v>
      </c>
      <c r="J112" s="66">
        <f t="shared" si="123"/>
        <v>0</v>
      </c>
      <c r="K112" s="25">
        <v>29</v>
      </c>
      <c r="L112" s="25">
        <v>0</v>
      </c>
      <c r="M112" s="25">
        <v>0</v>
      </c>
      <c r="N112" s="30">
        <v>37362</v>
      </c>
      <c r="O112" s="87">
        <v>0</v>
      </c>
      <c r="P112" s="59">
        <v>0</v>
      </c>
      <c r="Q112" s="25">
        <f t="shared" si="112"/>
        <v>27077297.064375475</v>
      </c>
      <c r="R112" s="65">
        <f t="shared" si="75"/>
        <v>25684653.407807693</v>
      </c>
      <c r="S112" s="25">
        <f t="shared" si="76"/>
        <v>148275.85600046068</v>
      </c>
      <c r="T112" s="38">
        <f t="shared" si="77"/>
        <v>5.5061732416158667E-3</v>
      </c>
    </row>
    <row r="113" spans="1:20">
      <c r="A113" s="2">
        <v>43891</v>
      </c>
      <c r="B113">
        <f t="shared" si="72"/>
        <v>2020</v>
      </c>
      <c r="C113">
        <f t="shared" si="73"/>
        <v>3</v>
      </c>
      <c r="D113" s="69">
        <v>24945910.043373495</v>
      </c>
      <c r="E113" s="69">
        <v>1392643.6565677822</v>
      </c>
      <c r="F113" s="69">
        <v>26338553.699941278</v>
      </c>
      <c r="G113" s="63">
        <v>396.7</v>
      </c>
      <c r="H113" s="63">
        <v>0</v>
      </c>
      <c r="I113" s="66">
        <f t="shared" ref="I113:J113" si="124">I125</f>
        <v>471.05</v>
      </c>
      <c r="J113" s="66">
        <f t="shared" si="124"/>
        <v>0.3</v>
      </c>
      <c r="K113" s="25">
        <v>31</v>
      </c>
      <c r="L113" s="25">
        <v>1</v>
      </c>
      <c r="M113" s="25">
        <v>0</v>
      </c>
      <c r="N113" s="30">
        <v>37440</v>
      </c>
      <c r="O113" s="87">
        <v>396.7</v>
      </c>
      <c r="P113" s="59">
        <v>0</v>
      </c>
      <c r="Q113" s="25">
        <f>F113+(I113-G113)*$V$10+(J113-H113)*$V$11</f>
        <v>26922163.45826295</v>
      </c>
      <c r="R113" s="65">
        <f t="shared" si="75"/>
        <v>25529519.801695168</v>
      </c>
      <c r="S113" s="25">
        <f t="shared" si="76"/>
        <v>583609.75832167268</v>
      </c>
      <c r="T113" s="38">
        <f t="shared" si="77"/>
        <v>2.2158003243852142E-2</v>
      </c>
    </row>
    <row r="114" spans="1:20">
      <c r="A114" s="2">
        <v>43922</v>
      </c>
      <c r="B114">
        <f t="shared" si="72"/>
        <v>2020</v>
      </c>
      <c r="C114">
        <f t="shared" si="73"/>
        <v>4</v>
      </c>
      <c r="D114" s="69">
        <v>25646430.178313266</v>
      </c>
      <c r="E114" s="69">
        <v>1392643.6565677822</v>
      </c>
      <c r="F114" s="69">
        <v>27039073.834881049</v>
      </c>
      <c r="G114" s="63">
        <v>302.29999999999995</v>
      </c>
      <c r="H114" s="63">
        <v>0</v>
      </c>
      <c r="I114" s="66">
        <f t="shared" ref="I114:J114" si="125">I126</f>
        <v>285.58000000000004</v>
      </c>
      <c r="J114" s="66">
        <f t="shared" si="125"/>
        <v>0.38999999999999985</v>
      </c>
      <c r="K114" s="25">
        <v>30</v>
      </c>
      <c r="L114" s="25">
        <v>1</v>
      </c>
      <c r="M114" s="25">
        <v>0</v>
      </c>
      <c r="N114" s="30">
        <v>37485</v>
      </c>
      <c r="O114" s="87">
        <v>302.29999999999995</v>
      </c>
      <c r="P114" s="59">
        <v>0</v>
      </c>
      <c r="Q114" s="25">
        <f t="shared" si="112"/>
        <v>26931678.155214809</v>
      </c>
      <c r="R114" s="65">
        <f t="shared" si="75"/>
        <v>25539034.498647027</v>
      </c>
      <c r="S114" s="25">
        <f t="shared" si="76"/>
        <v>-107395.67966623977</v>
      </c>
      <c r="T114" s="38">
        <f t="shared" si="77"/>
        <v>3.9718697586341436E-3</v>
      </c>
    </row>
    <row r="115" spans="1:20">
      <c r="A115" s="2">
        <v>43952</v>
      </c>
      <c r="B115">
        <f t="shared" si="72"/>
        <v>2020</v>
      </c>
      <c r="C115">
        <f t="shared" si="73"/>
        <v>5</v>
      </c>
      <c r="D115" s="69">
        <v>25915345.012048189</v>
      </c>
      <c r="E115" s="69">
        <v>1392643.6565677822</v>
      </c>
      <c r="F115" s="69">
        <v>27307988.668615971</v>
      </c>
      <c r="G115" s="63">
        <v>160.9</v>
      </c>
      <c r="H115" s="63">
        <v>39</v>
      </c>
      <c r="I115" s="66">
        <f t="shared" ref="I115:J115" si="126">I127</f>
        <v>93.759999999999991</v>
      </c>
      <c r="J115" s="66">
        <f t="shared" si="126"/>
        <v>43.35</v>
      </c>
      <c r="K115" s="25">
        <v>31</v>
      </c>
      <c r="L115" s="25">
        <v>1</v>
      </c>
      <c r="M115" s="25">
        <v>0</v>
      </c>
      <c r="N115" s="30">
        <v>37545</v>
      </c>
      <c r="O115" s="87">
        <v>160.9</v>
      </c>
      <c r="P115" s="59">
        <v>39</v>
      </c>
      <c r="Q115" s="25">
        <f>F115+(I115-G115)*$V$10+(J115-H115)*$V$11</f>
        <v>27021863.681561518</v>
      </c>
      <c r="R115" s="65">
        <f t="shared" si="75"/>
        <v>25629220.024993736</v>
      </c>
      <c r="S115" s="25">
        <f t="shared" si="76"/>
        <v>-286124.9870544523</v>
      </c>
      <c r="T115" s="38">
        <f t="shared" si="77"/>
        <v>1.0477702716468636E-2</v>
      </c>
    </row>
    <row r="116" spans="1:20">
      <c r="A116" s="2">
        <v>43983</v>
      </c>
      <c r="B116">
        <f t="shared" si="72"/>
        <v>2020</v>
      </c>
      <c r="C116">
        <f t="shared" si="73"/>
        <v>6</v>
      </c>
      <c r="D116" s="69">
        <v>37641354.804819241</v>
      </c>
      <c r="E116" s="69">
        <v>1392643.6565677822</v>
      </c>
      <c r="F116" s="69">
        <v>39033998.461387023</v>
      </c>
      <c r="G116" s="63">
        <v>9.2999999999999989</v>
      </c>
      <c r="H116" s="63">
        <v>143.20000000000002</v>
      </c>
      <c r="I116" s="66">
        <f t="shared" ref="I116:J116" si="127">I128</f>
        <v>8.7399999999999984</v>
      </c>
      <c r="J116" s="66">
        <f t="shared" si="127"/>
        <v>118.63000000000002</v>
      </c>
      <c r="K116" s="25">
        <v>30</v>
      </c>
      <c r="L116" s="25">
        <v>0</v>
      </c>
      <c r="M116" s="25">
        <v>0</v>
      </c>
      <c r="N116" s="30">
        <v>37663</v>
      </c>
      <c r="O116" s="87">
        <v>9.2999999999999989</v>
      </c>
      <c r="P116" s="59">
        <v>143.20000000000002</v>
      </c>
      <c r="Q116" s="25">
        <f>F116+(I116-G116)*$V$10+(J116-H116)*$V$11</f>
        <v>37748875.782884188</v>
      </c>
      <c r="R116" s="65">
        <f t="shared" si="75"/>
        <v>36356232.126316406</v>
      </c>
      <c r="S116" s="25">
        <f t="shared" si="76"/>
        <v>-1285122.6785028353</v>
      </c>
      <c r="T116" s="38">
        <f t="shared" si="77"/>
        <v>3.2923162605903583E-2</v>
      </c>
    </row>
    <row r="117" spans="1:20">
      <c r="A117" s="2">
        <v>44013</v>
      </c>
      <c r="B117">
        <f t="shared" si="72"/>
        <v>2020</v>
      </c>
      <c r="C117">
        <f t="shared" si="73"/>
        <v>7</v>
      </c>
      <c r="D117" s="69">
        <v>44487853.166265093</v>
      </c>
      <c r="E117" s="69">
        <v>1392643.6565677822</v>
      </c>
      <c r="F117" s="69">
        <v>45880496.822832875</v>
      </c>
      <c r="G117" s="63">
        <v>0</v>
      </c>
      <c r="H117" s="63">
        <v>277.7</v>
      </c>
      <c r="I117" s="66">
        <f t="shared" ref="I117:J117" si="128">I129</f>
        <v>0</v>
      </c>
      <c r="J117" s="66">
        <f t="shared" si="128"/>
        <v>207.41000000000003</v>
      </c>
      <c r="K117" s="25">
        <v>31</v>
      </c>
      <c r="L117" s="25">
        <v>0</v>
      </c>
      <c r="M117" s="25">
        <v>0</v>
      </c>
      <c r="N117" s="30">
        <v>37791</v>
      </c>
      <c r="O117" s="87">
        <v>0</v>
      </c>
      <c r="P117" s="59">
        <v>277.7</v>
      </c>
      <c r="Q117" s="25">
        <f>F117+(I117-G117)*$V$10+(J117-H117)*$V$11</f>
        <v>42216248.638613299</v>
      </c>
      <c r="R117" s="65">
        <f t="shared" si="75"/>
        <v>40823604.982045516</v>
      </c>
      <c r="S117" s="25">
        <f t="shared" si="76"/>
        <v>-3664248.1842195764</v>
      </c>
      <c r="T117" s="38">
        <f t="shared" si="77"/>
        <v>7.986505024932572E-2</v>
      </c>
    </row>
    <row r="118" spans="1:20">
      <c r="A118" s="2">
        <v>44044</v>
      </c>
      <c r="B118">
        <f t="shared" si="72"/>
        <v>2020</v>
      </c>
      <c r="C118">
        <f t="shared" si="73"/>
        <v>8</v>
      </c>
      <c r="D118" s="69">
        <v>38799720.212048218</v>
      </c>
      <c r="E118" s="69">
        <v>1392643.6565677822</v>
      </c>
      <c r="F118" s="69">
        <v>40192363.868616</v>
      </c>
      <c r="G118" s="63">
        <v>0</v>
      </c>
      <c r="H118" s="63">
        <v>187.89999999999998</v>
      </c>
      <c r="I118" s="66">
        <f t="shared" ref="I118:J118" si="129">I130</f>
        <v>0.29000000000000004</v>
      </c>
      <c r="J118" s="66">
        <f t="shared" si="129"/>
        <v>180.75000000000006</v>
      </c>
      <c r="K118" s="25">
        <v>31</v>
      </c>
      <c r="L118" s="25">
        <v>0</v>
      </c>
      <c r="M118" s="25">
        <v>0</v>
      </c>
      <c r="N118" s="30">
        <v>37841</v>
      </c>
      <c r="O118" s="87">
        <v>0</v>
      </c>
      <c r="P118" s="59">
        <v>187.89999999999998</v>
      </c>
      <c r="Q118" s="25">
        <f t="shared" si="112"/>
        <v>39821846.620537505</v>
      </c>
      <c r="R118" s="65">
        <f t="shared" si="75"/>
        <v>38429202.963969722</v>
      </c>
      <c r="S118" s="25">
        <f t="shared" si="76"/>
        <v>-370517.24807849526</v>
      </c>
      <c r="T118" s="38">
        <f t="shared" si="77"/>
        <v>9.2185980722525197E-3</v>
      </c>
    </row>
    <row r="119" spans="1:20">
      <c r="A119" s="2">
        <v>44075</v>
      </c>
      <c r="B119">
        <f t="shared" si="72"/>
        <v>2020</v>
      </c>
      <c r="C119">
        <f t="shared" si="73"/>
        <v>9</v>
      </c>
      <c r="D119" s="69">
        <v>27206302.631325286</v>
      </c>
      <c r="E119" s="69">
        <v>1392643.6565677822</v>
      </c>
      <c r="F119" s="69">
        <v>28598946.287893068</v>
      </c>
      <c r="G119" s="63">
        <v>35.6</v>
      </c>
      <c r="H119" s="63">
        <v>59.8</v>
      </c>
      <c r="I119" s="66">
        <f t="shared" ref="I119:J119" si="130">I131</f>
        <v>27</v>
      </c>
      <c r="J119" s="66">
        <f t="shared" si="130"/>
        <v>80.61</v>
      </c>
      <c r="K119" s="25">
        <v>30</v>
      </c>
      <c r="L119" s="25">
        <v>1</v>
      </c>
      <c r="M119" s="25">
        <v>1</v>
      </c>
      <c r="N119" s="30">
        <v>37918</v>
      </c>
      <c r="O119" s="87">
        <v>35.6</v>
      </c>
      <c r="P119" s="59">
        <v>59.8</v>
      </c>
      <c r="Q119" s="25">
        <f>F119+(I119-G119)*$V$10+(J119-H119)*$V$11</f>
        <v>29618083.943185732</v>
      </c>
      <c r="R119" s="65">
        <f t="shared" si="75"/>
        <v>28225440.28661795</v>
      </c>
      <c r="S119" s="25">
        <f t="shared" si="76"/>
        <v>1019137.6552926637</v>
      </c>
      <c r="T119" s="38">
        <f t="shared" si="77"/>
        <v>3.5635496672970092E-2</v>
      </c>
    </row>
    <row r="120" spans="1:20">
      <c r="A120" s="2">
        <v>44105</v>
      </c>
      <c r="B120">
        <f t="shared" si="72"/>
        <v>2020</v>
      </c>
      <c r="C120">
        <f t="shared" si="73"/>
        <v>10</v>
      </c>
      <c r="D120" s="69">
        <v>24001107.065060236</v>
      </c>
      <c r="E120" s="69">
        <v>1392643.6565677822</v>
      </c>
      <c r="F120" s="69">
        <v>25393750.721628018</v>
      </c>
      <c r="G120" s="63">
        <v>208.8</v>
      </c>
      <c r="H120" s="63">
        <v>0.5</v>
      </c>
      <c r="I120" s="66">
        <f t="shared" ref="I120:J120" si="131">I132</f>
        <v>167.57</v>
      </c>
      <c r="J120" s="66">
        <f t="shared" si="131"/>
        <v>9.9699999999999989</v>
      </c>
      <c r="K120" s="25">
        <v>31</v>
      </c>
      <c r="L120" s="25">
        <v>1</v>
      </c>
      <c r="M120" s="25">
        <v>0</v>
      </c>
      <c r="N120" s="30">
        <v>37985</v>
      </c>
      <c r="O120" s="87">
        <v>208.8</v>
      </c>
      <c r="P120" s="59">
        <v>0.5</v>
      </c>
      <c r="Q120" s="25">
        <f t="shared" si="112"/>
        <v>25572463.870840881</v>
      </c>
      <c r="R120" s="65">
        <f t="shared" si="75"/>
        <v>24179820.214273099</v>
      </c>
      <c r="S120" s="25">
        <f t="shared" si="76"/>
        <v>178713.1492128633</v>
      </c>
      <c r="T120" s="38">
        <f t="shared" si="77"/>
        <v>7.0376822696243992E-3</v>
      </c>
    </row>
    <row r="121" spans="1:20">
      <c r="A121" s="2">
        <v>44136</v>
      </c>
      <c r="B121">
        <f t="shared" si="72"/>
        <v>2020</v>
      </c>
      <c r="C121">
        <f t="shared" si="73"/>
        <v>11</v>
      </c>
      <c r="D121" s="69">
        <v>21906254.004819274</v>
      </c>
      <c r="E121" s="69">
        <v>1392643.6565677822</v>
      </c>
      <c r="F121" s="69">
        <v>23298897.661387056</v>
      </c>
      <c r="G121" s="63">
        <v>274.89999999999998</v>
      </c>
      <c r="H121" s="63">
        <v>0.10000000000000142</v>
      </c>
      <c r="I121" s="66">
        <f t="shared" ref="I121:J121" si="132">I133</f>
        <v>366.25</v>
      </c>
      <c r="J121" s="66">
        <f t="shared" si="132"/>
        <v>1.0000000000000142E-2</v>
      </c>
      <c r="K121" s="25">
        <v>30</v>
      </c>
      <c r="L121" s="25">
        <v>1</v>
      </c>
      <c r="M121" s="25">
        <v>0</v>
      </c>
      <c r="N121" s="30">
        <v>38048</v>
      </c>
      <c r="O121" s="87">
        <v>274.89999999999998</v>
      </c>
      <c r="P121" s="59">
        <v>0.10000000000000142</v>
      </c>
      <c r="Q121" s="25">
        <f t="shared" si="112"/>
        <v>23992042.060718615</v>
      </c>
      <c r="R121" s="65">
        <f t="shared" si="75"/>
        <v>22599398.404150832</v>
      </c>
      <c r="S121" s="25">
        <f t="shared" si="76"/>
        <v>693144.3993315585</v>
      </c>
      <c r="T121" s="38">
        <f t="shared" si="77"/>
        <v>2.9750094163480414E-2</v>
      </c>
    </row>
    <row r="122" spans="1:20">
      <c r="A122" s="2">
        <v>44166</v>
      </c>
      <c r="B122">
        <f t="shared" si="72"/>
        <v>2020</v>
      </c>
      <c r="C122">
        <f t="shared" si="73"/>
        <v>12</v>
      </c>
      <c r="D122" s="69">
        <v>28015587.036144584</v>
      </c>
      <c r="E122" s="69">
        <v>1392643.6565677822</v>
      </c>
      <c r="F122" s="69">
        <v>29408230.692712367</v>
      </c>
      <c r="G122" s="63">
        <v>505.3</v>
      </c>
      <c r="H122" s="63">
        <v>0</v>
      </c>
      <c r="I122" s="66">
        <f t="shared" ref="I122:J122" si="133">I134</f>
        <v>513.3599999999999</v>
      </c>
      <c r="J122" s="66">
        <f t="shared" si="133"/>
        <v>0</v>
      </c>
      <c r="K122" s="25">
        <v>31</v>
      </c>
      <c r="L122" s="25">
        <v>0</v>
      </c>
      <c r="M122" s="25">
        <v>0</v>
      </c>
      <c r="N122" s="30">
        <v>38063</v>
      </c>
      <c r="O122" s="87">
        <v>505.3</v>
      </c>
      <c r="P122" s="59">
        <v>0</v>
      </c>
      <c r="Q122" s="25">
        <f t="shared" si="112"/>
        <v>29469802.222818688</v>
      </c>
      <c r="R122" s="65">
        <f t="shared" si="75"/>
        <v>28077158.566250905</v>
      </c>
      <c r="S122" s="25">
        <f t="shared" si="76"/>
        <v>61571.530106320977</v>
      </c>
      <c r="T122" s="38">
        <f t="shared" si="77"/>
        <v>2.0936835931982464E-3</v>
      </c>
    </row>
    <row r="123" spans="1:20">
      <c r="A123" s="2">
        <v>44197</v>
      </c>
      <c r="B123">
        <f t="shared" si="72"/>
        <v>2021</v>
      </c>
      <c r="C123">
        <f t="shared" si="73"/>
        <v>1</v>
      </c>
      <c r="D123" s="69">
        <v>32091025.21445784</v>
      </c>
      <c r="E123" s="69">
        <v>1381348.8588926599</v>
      </c>
      <c r="F123" s="69">
        <v>33472374.0733505</v>
      </c>
      <c r="G123" s="63">
        <v>577.99999999999989</v>
      </c>
      <c r="H123" s="63">
        <v>0</v>
      </c>
      <c r="I123" s="66">
        <f t="shared" ref="I123:J123" si="134">I135</f>
        <v>625.5</v>
      </c>
      <c r="J123" s="66">
        <f t="shared" si="134"/>
        <v>0</v>
      </c>
      <c r="K123" s="25">
        <v>31</v>
      </c>
      <c r="L123" s="25">
        <v>0</v>
      </c>
      <c r="M123" s="25">
        <v>0</v>
      </c>
      <c r="N123" s="30">
        <v>38101</v>
      </c>
      <c r="O123" s="87">
        <v>577.99999999999989</v>
      </c>
      <c r="P123" s="59">
        <v>0</v>
      </c>
      <c r="Q123" s="25">
        <f t="shared" si="112"/>
        <v>33835233.587004393</v>
      </c>
      <c r="R123" s="65">
        <f t="shared" si="75"/>
        <v>32453884.728111733</v>
      </c>
      <c r="S123" s="25">
        <f t="shared" si="76"/>
        <v>362859.51365389302</v>
      </c>
      <c r="T123" s="38">
        <f t="shared" si="77"/>
        <v>1.0840566995897333E-2</v>
      </c>
    </row>
    <row r="124" spans="1:20">
      <c r="A124" s="2">
        <v>44228</v>
      </c>
      <c r="B124">
        <f t="shared" si="72"/>
        <v>2021</v>
      </c>
      <c r="C124">
        <f t="shared" si="73"/>
        <v>2</v>
      </c>
      <c r="D124" s="69">
        <v>30522858.187951799</v>
      </c>
      <c r="E124" s="69">
        <v>1381348.8588926599</v>
      </c>
      <c r="F124" s="69">
        <v>31904207.04684446</v>
      </c>
      <c r="G124" s="63">
        <v>597.70000000000005</v>
      </c>
      <c r="H124" s="63">
        <v>0</v>
      </c>
      <c r="I124" s="66">
        <f t="shared" ref="I124:J124" si="135">I136</f>
        <v>573.20999999999992</v>
      </c>
      <c r="J124" s="66">
        <f t="shared" si="135"/>
        <v>0</v>
      </c>
      <c r="K124" s="25">
        <v>28</v>
      </c>
      <c r="L124" s="25">
        <v>0</v>
      </c>
      <c r="M124" s="25">
        <v>0</v>
      </c>
      <c r="N124" s="30">
        <v>38138</v>
      </c>
      <c r="O124" s="87">
        <v>597.70000000000005</v>
      </c>
      <c r="P124" s="59">
        <v>0</v>
      </c>
      <c r="Q124" s="25">
        <f>F124+(I124-G124)*$V$10+(J124-H124)*$V$11</f>
        <v>31717124.32075217</v>
      </c>
      <c r="R124" s="65">
        <f t="shared" si="75"/>
        <v>30335775.461859509</v>
      </c>
      <c r="S124" s="25">
        <f t="shared" si="76"/>
        <v>-187082.72609229013</v>
      </c>
      <c r="T124" s="38">
        <f t="shared" si="77"/>
        <v>5.8638889165181073E-3</v>
      </c>
    </row>
    <row r="125" spans="1:20">
      <c r="A125" s="2">
        <v>44256</v>
      </c>
      <c r="B125">
        <f t="shared" si="72"/>
        <v>2021</v>
      </c>
      <c r="C125">
        <f t="shared" si="73"/>
        <v>3</v>
      </c>
      <c r="D125" s="69">
        <v>26534307.575903594</v>
      </c>
      <c r="E125" s="69">
        <v>1381348.8588926599</v>
      </c>
      <c r="F125" s="69">
        <v>27915656.434796255</v>
      </c>
      <c r="G125" s="63">
        <v>398.70000000000005</v>
      </c>
      <c r="H125" s="63">
        <v>0</v>
      </c>
      <c r="I125" s="66">
        <f t="shared" ref="I125:J125" si="136">I137</f>
        <v>471.05</v>
      </c>
      <c r="J125" s="66">
        <f t="shared" si="136"/>
        <v>0.3</v>
      </c>
      <c r="K125" s="25">
        <v>31</v>
      </c>
      <c r="L125" s="25">
        <v>1</v>
      </c>
      <c r="M125" s="25">
        <v>0</v>
      </c>
      <c r="N125" s="30">
        <v>38255</v>
      </c>
      <c r="O125" s="87">
        <v>398.70000000000005</v>
      </c>
      <c r="P125" s="59">
        <v>0</v>
      </c>
      <c r="Q125" s="25">
        <f t="shared" si="112"/>
        <v>28483987.897806186</v>
      </c>
      <c r="R125" s="65">
        <f t="shared" si="75"/>
        <v>27102639.038913526</v>
      </c>
      <c r="S125" s="25">
        <f t="shared" si="76"/>
        <v>568331.46300993115</v>
      </c>
      <c r="T125" s="38">
        <f t="shared" si="77"/>
        <v>2.0358878693660896E-2</v>
      </c>
    </row>
    <row r="126" spans="1:20">
      <c r="A126" s="2">
        <v>44287</v>
      </c>
      <c r="B126">
        <f t="shared" si="72"/>
        <v>2021</v>
      </c>
      <c r="C126">
        <f t="shared" si="73"/>
        <v>4</v>
      </c>
      <c r="D126" s="69">
        <v>24380831.836144578</v>
      </c>
      <c r="E126" s="69">
        <v>1381348.8588926599</v>
      </c>
      <c r="F126" s="69">
        <v>25762180.695037238</v>
      </c>
      <c r="G126" s="63">
        <v>242.4</v>
      </c>
      <c r="H126" s="63">
        <v>0</v>
      </c>
      <c r="I126" s="66">
        <f t="shared" ref="I126:J126" si="137">I138</f>
        <v>285.58000000000004</v>
      </c>
      <c r="J126" s="66">
        <f t="shared" si="137"/>
        <v>0.38999999999999985</v>
      </c>
      <c r="K126" s="25">
        <f t="shared" ref="K126:L141" si="138">K78</f>
        <v>30</v>
      </c>
      <c r="L126" s="25">
        <v>1</v>
      </c>
      <c r="M126" s="25">
        <v>0</v>
      </c>
      <c r="N126" s="30">
        <v>38336</v>
      </c>
      <c r="O126" s="87">
        <v>242.4</v>
      </c>
      <c r="P126" s="59">
        <v>0</v>
      </c>
      <c r="Q126" s="25">
        <f t="shared" si="112"/>
        <v>26112369.959957693</v>
      </c>
      <c r="R126" s="65">
        <f t="shared" si="75"/>
        <v>24731021.101065032</v>
      </c>
      <c r="S126" s="25">
        <f t="shared" si="76"/>
        <v>350189.26492045447</v>
      </c>
      <c r="T126" s="38">
        <f t="shared" si="77"/>
        <v>1.3593153043442245E-2</v>
      </c>
    </row>
    <row r="127" spans="1:20">
      <c r="A127" s="2">
        <v>44317</v>
      </c>
      <c r="B127">
        <f t="shared" si="72"/>
        <v>2021</v>
      </c>
      <c r="C127">
        <f t="shared" si="73"/>
        <v>5</v>
      </c>
      <c r="D127" s="69">
        <v>26420547.893975921</v>
      </c>
      <c r="E127" s="69">
        <v>1381348.8588926599</v>
      </c>
      <c r="F127" s="69">
        <v>27801896.752868582</v>
      </c>
      <c r="G127" s="63">
        <v>118.79999999999998</v>
      </c>
      <c r="H127" s="63">
        <v>44.499999999999986</v>
      </c>
      <c r="I127" s="66">
        <f t="shared" ref="I127:J127" si="139">I139</f>
        <v>93.759999999999991</v>
      </c>
      <c r="J127" s="66">
        <f t="shared" si="139"/>
        <v>43.35</v>
      </c>
      <c r="K127" s="25">
        <f t="shared" si="138"/>
        <v>31</v>
      </c>
      <c r="L127" s="25">
        <v>1</v>
      </c>
      <c r="M127" s="25">
        <v>0</v>
      </c>
      <c r="N127" s="30">
        <v>38428</v>
      </c>
      <c r="O127" s="87">
        <v>118.79999999999998</v>
      </c>
      <c r="P127" s="59">
        <v>44.499999999999986</v>
      </c>
      <c r="Q127" s="25">
        <f t="shared" si="112"/>
        <v>27550662.496819619</v>
      </c>
      <c r="R127" s="65">
        <f t="shared" si="75"/>
        <v>26169313.637926959</v>
      </c>
      <c r="S127" s="25">
        <f t="shared" si="76"/>
        <v>-251234.25604896247</v>
      </c>
      <c r="T127" s="38">
        <f t="shared" si="77"/>
        <v>9.0365869020443829E-3</v>
      </c>
    </row>
    <row r="128" spans="1:20">
      <c r="A128" s="2">
        <v>44348</v>
      </c>
      <c r="B128">
        <f t="shared" ref="B128:B134" si="140">YEAR(A128)</f>
        <v>2021</v>
      </c>
      <c r="C128">
        <f t="shared" ref="C128:C134" si="141">MONTH(A128)</f>
        <v>6</v>
      </c>
      <c r="D128" s="69">
        <v>35429511.624096349</v>
      </c>
      <c r="E128" s="69">
        <v>1381348.8588926599</v>
      </c>
      <c r="F128" s="69">
        <v>36810860.482989006</v>
      </c>
      <c r="G128" s="63">
        <v>1.1999999999999993</v>
      </c>
      <c r="H128" s="63">
        <v>176.20000000000005</v>
      </c>
      <c r="I128" s="66">
        <f t="shared" ref="I128:J128" si="142">I140</f>
        <v>8.7399999999999984</v>
      </c>
      <c r="J128" s="66">
        <f t="shared" si="142"/>
        <v>118.63000000000002</v>
      </c>
      <c r="K128" s="25">
        <v>30</v>
      </c>
      <c r="L128" s="25">
        <v>0</v>
      </c>
      <c r="M128" s="25">
        <v>0</v>
      </c>
      <c r="N128" s="30">
        <v>38487</v>
      </c>
      <c r="O128" s="87">
        <v>1.1999999999999993</v>
      </c>
      <c r="P128" s="59">
        <v>176.20000000000005</v>
      </c>
      <c r="Q128" s="25">
        <f t="shared" si="112"/>
        <v>33867310.588658549</v>
      </c>
      <c r="R128" s="65">
        <f t="shared" ref="R128:R134" si="143">Q128-E128</f>
        <v>32485961.729765888</v>
      </c>
      <c r="S128" s="25">
        <f t="shared" ref="S128:S134" si="144">+Q128-F128</f>
        <v>-2943549.8943304569</v>
      </c>
      <c r="T128" s="38">
        <f t="shared" ref="T128:T134" si="145">ABS(S128/F128)</f>
        <v>7.9964169696351617E-2</v>
      </c>
    </row>
    <row r="129" spans="1:23">
      <c r="A129" s="2">
        <v>44378</v>
      </c>
      <c r="B129">
        <f t="shared" si="140"/>
        <v>2021</v>
      </c>
      <c r="C129">
        <f t="shared" si="141"/>
        <v>7</v>
      </c>
      <c r="D129" s="69">
        <v>37354488.337349385</v>
      </c>
      <c r="E129" s="69">
        <v>1381348.8588926599</v>
      </c>
      <c r="F129" s="69">
        <v>38735837.196242042</v>
      </c>
      <c r="G129" s="63">
        <v>0</v>
      </c>
      <c r="H129" s="63">
        <v>166.3</v>
      </c>
      <c r="I129" s="66">
        <f t="shared" ref="I129:J129" si="146">I141</f>
        <v>0</v>
      </c>
      <c r="J129" s="66">
        <f t="shared" si="146"/>
        <v>207.41000000000003</v>
      </c>
      <c r="K129" s="25">
        <v>31</v>
      </c>
      <c r="L129" s="25">
        <v>0</v>
      </c>
      <c r="M129" s="25">
        <v>0</v>
      </c>
      <c r="N129" s="30">
        <v>38553</v>
      </c>
      <c r="O129" s="87">
        <v>0</v>
      </c>
      <c r="P129" s="59">
        <v>166.3</v>
      </c>
      <c r="Q129" s="25">
        <f t="shared" si="112"/>
        <v>40878919.32532537</v>
      </c>
      <c r="R129" s="65">
        <f t="shared" si="143"/>
        <v>39497570.466432713</v>
      </c>
      <c r="S129" s="25">
        <f t="shared" si="144"/>
        <v>2143082.1290833279</v>
      </c>
      <c r="T129" s="38">
        <f t="shared" si="145"/>
        <v>5.5325566302494661E-2</v>
      </c>
    </row>
    <row r="130" spans="1:23">
      <c r="A130" s="2">
        <v>44409</v>
      </c>
      <c r="B130">
        <f t="shared" si="140"/>
        <v>2021</v>
      </c>
      <c r="C130">
        <f t="shared" si="141"/>
        <v>8</v>
      </c>
      <c r="D130" s="69">
        <v>40364094.120481901</v>
      </c>
      <c r="E130" s="69">
        <v>1381348.8588926599</v>
      </c>
      <c r="F130" s="69">
        <v>41745442.979374558</v>
      </c>
      <c r="G130" s="63">
        <v>0</v>
      </c>
      <c r="H130" s="63">
        <v>241.4</v>
      </c>
      <c r="I130" s="66">
        <f t="shared" ref="I130:J130" si="147">I142</f>
        <v>0.29000000000000004</v>
      </c>
      <c r="J130" s="66">
        <f t="shared" si="147"/>
        <v>180.75000000000006</v>
      </c>
      <c r="K130" s="25">
        <v>31</v>
      </c>
      <c r="L130" s="25">
        <v>0</v>
      </c>
      <c r="M130" s="25">
        <v>0</v>
      </c>
      <c r="N130" s="30">
        <v>38570</v>
      </c>
      <c r="O130" s="87">
        <v>0</v>
      </c>
      <c r="P130" s="59">
        <v>241.4</v>
      </c>
      <c r="Q130" s="25">
        <f t="shared" si="112"/>
        <v>38585947.528767288</v>
      </c>
      <c r="R130" s="65">
        <f t="shared" si="143"/>
        <v>37204598.669874631</v>
      </c>
      <c r="S130" s="25">
        <f t="shared" si="144"/>
        <v>-3159495.45060727</v>
      </c>
      <c r="T130" s="38">
        <f t="shared" si="145"/>
        <v>7.5684798749609691E-2</v>
      </c>
    </row>
    <row r="131" spans="1:23">
      <c r="A131" s="2">
        <v>44440</v>
      </c>
      <c r="B131">
        <f t="shared" si="140"/>
        <v>2021</v>
      </c>
      <c r="C131">
        <f t="shared" si="141"/>
        <v>9</v>
      </c>
      <c r="D131" s="69">
        <v>30965429.060240969</v>
      </c>
      <c r="E131" s="69">
        <v>1381348.8588926599</v>
      </c>
      <c r="F131" s="69">
        <v>32346777.91913363</v>
      </c>
      <c r="G131" s="63">
        <v>14.3</v>
      </c>
      <c r="H131" s="63">
        <v>63.599999999999994</v>
      </c>
      <c r="I131" s="66">
        <f t="shared" ref="I131:J131" si="148">I143</f>
        <v>27</v>
      </c>
      <c r="J131" s="66">
        <f t="shared" si="148"/>
        <v>80.61</v>
      </c>
      <c r="K131" s="25">
        <v>30</v>
      </c>
      <c r="L131" s="25">
        <v>1</v>
      </c>
      <c r="M131" s="25">
        <v>1</v>
      </c>
      <c r="N131" s="30">
        <v>38649</v>
      </c>
      <c r="O131" s="87">
        <v>14.3</v>
      </c>
      <c r="P131" s="59">
        <v>63.599999999999994</v>
      </c>
      <c r="Q131" s="25">
        <f t="shared" si="112"/>
        <v>33330533.77146627</v>
      </c>
      <c r="R131" s="65">
        <f t="shared" si="143"/>
        <v>31949184.91257361</v>
      </c>
      <c r="S131" s="25">
        <f t="shared" si="144"/>
        <v>983755.85233264044</v>
      </c>
      <c r="T131" s="38">
        <f t="shared" si="145"/>
        <v>3.04127927298358E-2</v>
      </c>
    </row>
    <row r="132" spans="1:23">
      <c r="A132" s="2">
        <v>44470</v>
      </c>
      <c r="B132">
        <f t="shared" si="140"/>
        <v>2021</v>
      </c>
      <c r="C132">
        <f t="shared" si="141"/>
        <v>10</v>
      </c>
      <c r="D132" s="69">
        <v>24701351.469879605</v>
      </c>
      <c r="E132" s="69">
        <v>1381348.8588926599</v>
      </c>
      <c r="F132" s="69">
        <v>26082700.328772265</v>
      </c>
      <c r="G132" s="63">
        <v>102.60000000000001</v>
      </c>
      <c r="H132" s="63">
        <v>24.999999999999993</v>
      </c>
      <c r="I132" s="66">
        <f t="shared" ref="I132:J132" si="149">I144</f>
        <v>167.57</v>
      </c>
      <c r="J132" s="66">
        <f t="shared" si="149"/>
        <v>9.9699999999999989</v>
      </c>
      <c r="K132" s="25">
        <v>31</v>
      </c>
      <c r="L132" s="25">
        <v>1</v>
      </c>
      <c r="M132" s="25">
        <v>0</v>
      </c>
      <c r="N132" s="30">
        <v>38774</v>
      </c>
      <c r="O132" s="87">
        <v>102.60000000000001</v>
      </c>
      <c r="P132" s="59">
        <v>24.999999999999993</v>
      </c>
      <c r="Q132" s="25">
        <f t="shared" si="112"/>
        <v>25795495.333581567</v>
      </c>
      <c r="R132" s="65">
        <f t="shared" si="143"/>
        <v>24414146.474688906</v>
      </c>
      <c r="S132" s="25">
        <f t="shared" si="144"/>
        <v>-287204.99519069865</v>
      </c>
      <c r="T132" s="38">
        <f t="shared" si="145"/>
        <v>1.1011321357469954E-2</v>
      </c>
    </row>
    <row r="133" spans="1:23">
      <c r="A133" s="2">
        <v>44501</v>
      </c>
      <c r="B133">
        <f t="shared" si="140"/>
        <v>2021</v>
      </c>
      <c r="C133">
        <f t="shared" si="141"/>
        <v>11</v>
      </c>
      <c r="D133" s="69">
        <v>23015449.214457814</v>
      </c>
      <c r="E133" s="69">
        <v>1381348.8588926599</v>
      </c>
      <c r="F133" s="69">
        <v>24396798.073350474</v>
      </c>
      <c r="G133" s="63">
        <v>353.7</v>
      </c>
      <c r="H133" s="63">
        <v>0</v>
      </c>
      <c r="I133" s="66">
        <f t="shared" ref="I133:J133" si="150">I145</f>
        <v>366.25</v>
      </c>
      <c r="J133" s="66">
        <f t="shared" si="150"/>
        <v>1.0000000000000142E-2</v>
      </c>
      <c r="K133" s="25">
        <f t="shared" ref="K133" si="151">K85</f>
        <v>30</v>
      </c>
      <c r="L133" s="25">
        <v>1</v>
      </c>
      <c r="M133" s="25">
        <v>0</v>
      </c>
      <c r="N133" s="30">
        <v>38781</v>
      </c>
      <c r="O133" s="87">
        <v>353.7</v>
      </c>
      <c r="P133" s="59">
        <v>0</v>
      </c>
      <c r="Q133" s="25">
        <f t="shared" si="112"/>
        <v>24493190.680768579</v>
      </c>
      <c r="R133" s="65">
        <f t="shared" si="143"/>
        <v>23111841.821875919</v>
      </c>
      <c r="S133" s="25">
        <f t="shared" si="144"/>
        <v>96392.607418105006</v>
      </c>
      <c r="T133" s="38">
        <f t="shared" si="145"/>
        <v>3.9510351779891238E-3</v>
      </c>
    </row>
    <row r="134" spans="1:23">
      <c r="A134" s="2">
        <v>44531</v>
      </c>
      <c r="B134">
        <f t="shared" si="140"/>
        <v>2021</v>
      </c>
      <c r="C134">
        <f t="shared" si="141"/>
        <v>12</v>
      </c>
      <c r="D134" s="69">
        <v>28628265.918072276</v>
      </c>
      <c r="E134" s="69">
        <v>1381348.8588926599</v>
      </c>
      <c r="F134" s="69">
        <v>30009614.776964936</v>
      </c>
      <c r="G134" s="63">
        <v>443.4</v>
      </c>
      <c r="H134" s="63">
        <v>0</v>
      </c>
      <c r="I134" s="66">
        <f t="shared" ref="I134:J134" si="152">I146</f>
        <v>513.3599999999999</v>
      </c>
      <c r="J134" s="66">
        <f t="shared" si="152"/>
        <v>0</v>
      </c>
      <c r="K134" s="25">
        <f t="shared" ref="K134" si="153">K86</f>
        <v>31</v>
      </c>
      <c r="L134" s="25">
        <v>0</v>
      </c>
      <c r="M134" s="25">
        <v>0</v>
      </c>
      <c r="N134" s="30">
        <v>38823</v>
      </c>
      <c r="O134" s="87">
        <v>443.4</v>
      </c>
      <c r="P134" s="59">
        <v>0</v>
      </c>
      <c r="Q134" s="25">
        <f t="shared" si="112"/>
        <v>30544049.546969697</v>
      </c>
      <c r="R134" s="65">
        <f t="shared" si="143"/>
        <v>29162700.688077036</v>
      </c>
      <c r="S134" s="25">
        <f t="shared" si="144"/>
        <v>534434.77000476047</v>
      </c>
      <c r="T134" s="38">
        <f t="shared" si="145"/>
        <v>1.7808784750378968E-2</v>
      </c>
      <c r="U134" s="22" t="s">
        <v>4</v>
      </c>
    </row>
    <row r="135" spans="1:23">
      <c r="A135" s="2">
        <v>44562</v>
      </c>
      <c r="B135">
        <f t="shared" ref="B135:B158" si="154">YEAR(A135)</f>
        <v>2022</v>
      </c>
      <c r="C135">
        <f t="shared" ref="C135:C158" si="155">MONTH(A135)</f>
        <v>1</v>
      </c>
      <c r="D135" s="69"/>
      <c r="E135" s="69">
        <v>1378205.8244644934</v>
      </c>
      <c r="F135" s="69"/>
      <c r="G135" s="66">
        <v>625.5</v>
      </c>
      <c r="H135" s="66">
        <v>0</v>
      </c>
      <c r="I135" s="66">
        <f t="shared" ref="I135:I157" si="156">G135</f>
        <v>625.5</v>
      </c>
      <c r="J135" s="66">
        <f t="shared" ref="J135:J157" si="157">H135</f>
        <v>0</v>
      </c>
      <c r="K135" s="25">
        <f t="shared" si="138"/>
        <v>31</v>
      </c>
      <c r="L135" s="25">
        <f t="shared" si="138"/>
        <v>0</v>
      </c>
      <c r="M135" s="25">
        <f>M123</f>
        <v>0</v>
      </c>
      <c r="N135" s="67">
        <v>38885.5</v>
      </c>
      <c r="O135" s="73">
        <f>G135*U135</f>
        <v>469.125</v>
      </c>
      <c r="P135" s="77">
        <f>H135*U135</f>
        <v>0</v>
      </c>
      <c r="Q135" s="25">
        <f>$V$9+G135*$V$10+H135*$V$11+K135*$V$12+L135*$V$13+M135*$V$14+N135*$V$15</f>
        <v>32311618.218852606</v>
      </c>
      <c r="R135" s="65">
        <f t="shared" ref="R135:R158" si="158">Q135-E135</f>
        <v>30933412.394388113</v>
      </c>
      <c r="S135" s="25">
        <f t="shared" ref="S135:S158" si="159">+Q135-F135</f>
        <v>32311618.218852606</v>
      </c>
      <c r="T135" s="38"/>
      <c r="U135" s="76">
        <v>0.75</v>
      </c>
    </row>
    <row r="136" spans="1:23">
      <c r="A136" s="2">
        <v>44593</v>
      </c>
      <c r="B136">
        <f t="shared" si="154"/>
        <v>2022</v>
      </c>
      <c r="C136">
        <f t="shared" si="155"/>
        <v>2</v>
      </c>
      <c r="D136" s="69"/>
      <c r="E136" s="69">
        <f>E135</f>
        <v>1378205.8244644934</v>
      </c>
      <c r="F136" s="69"/>
      <c r="G136" s="66">
        <v>573.20999999999992</v>
      </c>
      <c r="H136" s="66">
        <v>0</v>
      </c>
      <c r="I136" s="66">
        <f t="shared" si="156"/>
        <v>573.20999999999992</v>
      </c>
      <c r="J136" s="66">
        <f t="shared" si="157"/>
        <v>0</v>
      </c>
      <c r="K136" s="25">
        <f t="shared" si="138"/>
        <v>28</v>
      </c>
      <c r="L136" s="25">
        <f t="shared" si="138"/>
        <v>0</v>
      </c>
      <c r="M136" s="25">
        <f t="shared" ref="M136:M158" si="160">M124</f>
        <v>0</v>
      </c>
      <c r="N136" s="67">
        <v>38948</v>
      </c>
      <c r="O136" s="73">
        <f t="shared" ref="O136:O158" si="161">G136*U136</f>
        <v>429.90749999999991</v>
      </c>
      <c r="P136" s="77">
        <f t="shared" ref="P136:P158" si="162">H136*U136</f>
        <v>0</v>
      </c>
      <c r="Q136" s="25">
        <f t="shared" ref="Q136:Q158" si="163">$V$9+G136*$V$10+H136*$V$11+K136*$V$12+L136*$V$13+M136*$V$14+N136*$V$15</f>
        <v>29664275.928764552</v>
      </c>
      <c r="R136" s="65">
        <f t="shared" si="158"/>
        <v>28286070.104300059</v>
      </c>
      <c r="S136" s="25">
        <f t="shared" si="159"/>
        <v>29664275.928764552</v>
      </c>
      <c r="T136" s="38"/>
      <c r="U136" s="76">
        <f>U135</f>
        <v>0.75</v>
      </c>
    </row>
    <row r="137" spans="1:23">
      <c r="A137" s="2">
        <v>44621</v>
      </c>
      <c r="B137">
        <f t="shared" si="154"/>
        <v>2022</v>
      </c>
      <c r="C137">
        <f t="shared" si="155"/>
        <v>3</v>
      </c>
      <c r="D137" s="69"/>
      <c r="E137" s="69">
        <f t="shared" ref="E137:E146" si="164">E136</f>
        <v>1378205.8244644934</v>
      </c>
      <c r="F137" s="69"/>
      <c r="G137" s="66">
        <v>471.05</v>
      </c>
      <c r="H137" s="66">
        <v>0.3</v>
      </c>
      <c r="I137" s="66">
        <f t="shared" si="156"/>
        <v>471.05</v>
      </c>
      <c r="J137" s="66">
        <f t="shared" si="157"/>
        <v>0.3</v>
      </c>
      <c r="K137" s="25">
        <f t="shared" si="138"/>
        <v>31</v>
      </c>
      <c r="L137" s="25">
        <f t="shared" si="138"/>
        <v>1</v>
      </c>
      <c r="M137" s="25">
        <f t="shared" si="160"/>
        <v>0</v>
      </c>
      <c r="N137" s="67">
        <v>39010.5</v>
      </c>
      <c r="O137" s="73">
        <f t="shared" si="161"/>
        <v>353.28750000000002</v>
      </c>
      <c r="P137" s="77">
        <f t="shared" si="162"/>
        <v>0.22499999999999998</v>
      </c>
      <c r="Q137" s="25">
        <f t="shared" si="163"/>
        <v>27801720.855248969</v>
      </c>
      <c r="R137" s="65">
        <f t="shared" si="158"/>
        <v>26423515.030784477</v>
      </c>
      <c r="S137" s="25">
        <f t="shared" si="159"/>
        <v>27801720.855248969</v>
      </c>
      <c r="T137" s="38"/>
      <c r="U137" s="76">
        <f t="shared" ref="U137:U158" si="165">U136</f>
        <v>0.75</v>
      </c>
    </row>
    <row r="138" spans="1:23">
      <c r="A138" s="2">
        <v>44652</v>
      </c>
      <c r="B138">
        <f t="shared" si="154"/>
        <v>2022</v>
      </c>
      <c r="C138">
        <f t="shared" si="155"/>
        <v>4</v>
      </c>
      <c r="D138" s="69"/>
      <c r="E138" s="69">
        <f t="shared" si="164"/>
        <v>1378205.8244644934</v>
      </c>
      <c r="F138" s="69"/>
      <c r="G138" s="66">
        <v>285.58000000000004</v>
      </c>
      <c r="H138" s="66">
        <v>0.38999999999999985</v>
      </c>
      <c r="I138" s="66">
        <f t="shared" si="156"/>
        <v>285.58000000000004</v>
      </c>
      <c r="J138" s="66">
        <f t="shared" si="157"/>
        <v>0.38999999999999985</v>
      </c>
      <c r="K138" s="25">
        <f t="shared" si="138"/>
        <v>30</v>
      </c>
      <c r="L138" s="25">
        <f t="shared" si="138"/>
        <v>1</v>
      </c>
      <c r="M138" s="25">
        <f t="shared" si="160"/>
        <v>0</v>
      </c>
      <c r="N138" s="67">
        <v>39073</v>
      </c>
      <c r="O138" s="73">
        <f t="shared" si="161"/>
        <v>214.18500000000003</v>
      </c>
      <c r="P138" s="77">
        <f t="shared" si="162"/>
        <v>0.29249999999999987</v>
      </c>
      <c r="Q138" s="25">
        <f t="shared" si="163"/>
        <v>25670947.688714527</v>
      </c>
      <c r="R138" s="65">
        <f t="shared" si="158"/>
        <v>24292741.864250034</v>
      </c>
      <c r="S138" s="25">
        <f t="shared" si="159"/>
        <v>25670947.688714527</v>
      </c>
      <c r="T138" s="38"/>
      <c r="U138" s="76">
        <f t="shared" si="165"/>
        <v>0.75</v>
      </c>
    </row>
    <row r="139" spans="1:23">
      <c r="A139" s="2">
        <v>44682</v>
      </c>
      <c r="B139">
        <f t="shared" si="154"/>
        <v>2022</v>
      </c>
      <c r="C139">
        <f t="shared" si="155"/>
        <v>5</v>
      </c>
      <c r="D139" s="69"/>
      <c r="E139" s="69">
        <f t="shared" si="164"/>
        <v>1378205.8244644934</v>
      </c>
      <c r="F139" s="69"/>
      <c r="G139" s="66">
        <v>93.759999999999991</v>
      </c>
      <c r="H139" s="66">
        <v>43.35</v>
      </c>
      <c r="I139" s="66">
        <f t="shared" si="156"/>
        <v>93.759999999999991</v>
      </c>
      <c r="J139" s="66">
        <f t="shared" si="157"/>
        <v>43.35</v>
      </c>
      <c r="K139" s="25">
        <f t="shared" si="138"/>
        <v>31</v>
      </c>
      <c r="L139" s="25">
        <f t="shared" si="138"/>
        <v>1</v>
      </c>
      <c r="M139" s="25">
        <f t="shared" si="160"/>
        <v>0</v>
      </c>
      <c r="N139" s="67">
        <v>39135.5</v>
      </c>
      <c r="O139" s="73">
        <f t="shared" si="161"/>
        <v>70.319999999999993</v>
      </c>
      <c r="P139" s="77">
        <f t="shared" si="162"/>
        <v>32.512500000000003</v>
      </c>
      <c r="Q139" s="25">
        <f t="shared" si="163"/>
        <v>27255756.696277045</v>
      </c>
      <c r="R139" s="65">
        <f t="shared" si="158"/>
        <v>25877550.871812552</v>
      </c>
      <c r="S139" s="25">
        <f t="shared" si="159"/>
        <v>27255756.696277045</v>
      </c>
      <c r="T139" s="38"/>
      <c r="U139" s="76">
        <f t="shared" si="165"/>
        <v>0.75</v>
      </c>
    </row>
    <row r="140" spans="1:23">
      <c r="A140" s="2">
        <v>44713</v>
      </c>
      <c r="B140">
        <f t="shared" si="154"/>
        <v>2022</v>
      </c>
      <c r="C140">
        <f t="shared" si="155"/>
        <v>6</v>
      </c>
      <c r="D140" s="69"/>
      <c r="E140" s="69">
        <f t="shared" si="164"/>
        <v>1378205.8244644934</v>
      </c>
      <c r="F140" s="69"/>
      <c r="G140" s="66">
        <v>8.7399999999999984</v>
      </c>
      <c r="H140" s="66">
        <v>118.63000000000002</v>
      </c>
      <c r="I140" s="66">
        <f t="shared" si="156"/>
        <v>8.7399999999999984</v>
      </c>
      <c r="J140" s="66">
        <f t="shared" si="157"/>
        <v>118.63000000000002</v>
      </c>
      <c r="K140" s="25">
        <f t="shared" si="138"/>
        <v>30</v>
      </c>
      <c r="L140" s="25">
        <f t="shared" si="138"/>
        <v>0</v>
      </c>
      <c r="M140" s="25">
        <f t="shared" si="160"/>
        <v>0</v>
      </c>
      <c r="N140" s="67">
        <v>39198</v>
      </c>
      <c r="O140" s="73">
        <f t="shared" si="161"/>
        <v>6.5549999999999988</v>
      </c>
      <c r="P140" s="77">
        <f t="shared" si="162"/>
        <v>88.972500000000025</v>
      </c>
      <c r="Q140" s="25">
        <f t="shared" si="163"/>
        <v>33249688.049013563</v>
      </c>
      <c r="R140" s="65">
        <f t="shared" si="158"/>
        <v>31871482.22454907</v>
      </c>
      <c r="S140" s="25">
        <f t="shared" si="159"/>
        <v>33249688.049013563</v>
      </c>
      <c r="T140" s="38"/>
      <c r="U140" s="76">
        <f t="shared" si="165"/>
        <v>0.75</v>
      </c>
    </row>
    <row r="141" spans="1:23">
      <c r="A141" s="2">
        <v>44743</v>
      </c>
      <c r="B141">
        <f t="shared" si="154"/>
        <v>2022</v>
      </c>
      <c r="C141">
        <f t="shared" si="155"/>
        <v>7</v>
      </c>
      <c r="D141" s="69"/>
      <c r="E141" s="69">
        <f t="shared" si="164"/>
        <v>1378205.8244644934</v>
      </c>
      <c r="F141" s="69"/>
      <c r="G141" s="66">
        <v>0</v>
      </c>
      <c r="H141" s="66">
        <v>207.41000000000003</v>
      </c>
      <c r="I141" s="66">
        <f t="shared" si="156"/>
        <v>0</v>
      </c>
      <c r="J141" s="66">
        <f t="shared" si="157"/>
        <v>207.41000000000003</v>
      </c>
      <c r="K141" s="25">
        <f t="shared" si="138"/>
        <v>31</v>
      </c>
      <c r="L141" s="25">
        <f t="shared" si="138"/>
        <v>0</v>
      </c>
      <c r="M141" s="25">
        <f t="shared" si="160"/>
        <v>0</v>
      </c>
      <c r="N141" s="67">
        <v>39260.5</v>
      </c>
      <c r="O141" s="73">
        <f t="shared" si="161"/>
        <v>0</v>
      </c>
      <c r="P141" s="77">
        <f t="shared" si="162"/>
        <v>155.5575</v>
      </c>
      <c r="Q141" s="25">
        <f t="shared" si="163"/>
        <v>38621688.681186244</v>
      </c>
      <c r="R141" s="65">
        <f t="shared" si="158"/>
        <v>37243482.856721751</v>
      </c>
      <c r="S141" s="25">
        <f t="shared" si="159"/>
        <v>38621688.681186244</v>
      </c>
      <c r="T141" s="38"/>
      <c r="U141" s="76">
        <f t="shared" si="165"/>
        <v>0.75</v>
      </c>
    </row>
    <row r="142" spans="1:23">
      <c r="A142" s="2">
        <v>44774</v>
      </c>
      <c r="B142">
        <f t="shared" si="154"/>
        <v>2022</v>
      </c>
      <c r="C142">
        <f t="shared" si="155"/>
        <v>8</v>
      </c>
      <c r="D142" s="69"/>
      <c r="E142" s="69">
        <f t="shared" si="164"/>
        <v>1378205.8244644934</v>
      </c>
      <c r="F142" s="69"/>
      <c r="G142" s="66">
        <v>0.29000000000000004</v>
      </c>
      <c r="H142" s="66">
        <v>180.75000000000006</v>
      </c>
      <c r="I142" s="66">
        <f t="shared" si="156"/>
        <v>0.29000000000000004</v>
      </c>
      <c r="J142" s="66">
        <f t="shared" si="157"/>
        <v>180.75000000000006</v>
      </c>
      <c r="K142" s="25">
        <f t="shared" ref="K142:L157" si="166">K94</f>
        <v>31</v>
      </c>
      <c r="L142" s="25">
        <f t="shared" si="166"/>
        <v>0</v>
      </c>
      <c r="M142" s="25">
        <f t="shared" si="160"/>
        <v>0</v>
      </c>
      <c r="N142" s="67">
        <v>39323</v>
      </c>
      <c r="O142" s="73">
        <f t="shared" si="161"/>
        <v>0.21750000000000003</v>
      </c>
      <c r="P142" s="77">
        <f t="shared" si="162"/>
        <v>135.56250000000006</v>
      </c>
      <c r="Q142" s="25">
        <f t="shared" si="163"/>
        <v>37280104.016607225</v>
      </c>
      <c r="R142" s="65">
        <f t="shared" si="158"/>
        <v>35901898.192142732</v>
      </c>
      <c r="S142" s="25">
        <f t="shared" si="159"/>
        <v>37280104.016607225</v>
      </c>
      <c r="T142" s="38"/>
      <c r="U142" s="76">
        <f t="shared" si="165"/>
        <v>0.75</v>
      </c>
    </row>
    <row r="143" spans="1:23">
      <c r="A143" s="2">
        <v>44805</v>
      </c>
      <c r="B143">
        <f t="shared" si="154"/>
        <v>2022</v>
      </c>
      <c r="C143">
        <f t="shared" si="155"/>
        <v>9</v>
      </c>
      <c r="D143" s="69"/>
      <c r="E143" s="69">
        <f t="shared" si="164"/>
        <v>1378205.8244644934</v>
      </c>
      <c r="F143" s="69"/>
      <c r="G143" s="66">
        <v>27</v>
      </c>
      <c r="H143" s="66">
        <v>80.61</v>
      </c>
      <c r="I143" s="66">
        <f t="shared" si="156"/>
        <v>27</v>
      </c>
      <c r="J143" s="66">
        <f t="shared" si="157"/>
        <v>80.61</v>
      </c>
      <c r="K143" s="25">
        <f t="shared" si="166"/>
        <v>30</v>
      </c>
      <c r="L143" s="25">
        <f t="shared" si="166"/>
        <v>1</v>
      </c>
      <c r="M143" s="25">
        <f t="shared" si="160"/>
        <v>1</v>
      </c>
      <c r="N143" s="67">
        <v>39385.5</v>
      </c>
      <c r="O143" s="73">
        <f t="shared" si="161"/>
        <v>20.25</v>
      </c>
      <c r="P143" s="77">
        <f t="shared" si="162"/>
        <v>60.457499999999996</v>
      </c>
      <c r="Q143" s="25">
        <f t="shared" si="163"/>
        <v>29789429.916935526</v>
      </c>
      <c r="R143" s="65">
        <f t="shared" si="158"/>
        <v>28411224.092471033</v>
      </c>
      <c r="S143" s="25">
        <f t="shared" si="159"/>
        <v>29789429.916935526</v>
      </c>
      <c r="T143" s="38"/>
      <c r="U143" s="76">
        <f t="shared" si="165"/>
        <v>0.75</v>
      </c>
    </row>
    <row r="144" spans="1:23">
      <c r="A144" s="2">
        <v>44835</v>
      </c>
      <c r="B144">
        <f t="shared" si="154"/>
        <v>2022</v>
      </c>
      <c r="C144">
        <f t="shared" si="155"/>
        <v>10</v>
      </c>
      <c r="D144" s="69"/>
      <c r="E144" s="69">
        <f t="shared" si="164"/>
        <v>1378205.8244644934</v>
      </c>
      <c r="F144" s="69"/>
      <c r="G144" s="66">
        <v>167.57</v>
      </c>
      <c r="H144" s="66">
        <v>9.9699999999999989</v>
      </c>
      <c r="I144" s="66">
        <f t="shared" si="156"/>
        <v>167.57</v>
      </c>
      <c r="J144" s="66">
        <f t="shared" si="157"/>
        <v>9.9699999999999989</v>
      </c>
      <c r="K144" s="25">
        <f t="shared" si="166"/>
        <v>31</v>
      </c>
      <c r="L144" s="25">
        <f t="shared" si="166"/>
        <v>1</v>
      </c>
      <c r="M144" s="25">
        <f t="shared" si="160"/>
        <v>0</v>
      </c>
      <c r="N144" s="67">
        <v>39448</v>
      </c>
      <c r="O144" s="73">
        <f t="shared" si="161"/>
        <v>125.67749999999999</v>
      </c>
      <c r="P144" s="77">
        <f t="shared" si="162"/>
        <v>7.4774999999999991</v>
      </c>
      <c r="Q144" s="25">
        <f t="shared" si="163"/>
        <v>26309475.032278053</v>
      </c>
      <c r="R144" s="65">
        <f t="shared" si="158"/>
        <v>24931269.207813561</v>
      </c>
      <c r="S144" s="25">
        <f t="shared" si="159"/>
        <v>26309475.032278053</v>
      </c>
      <c r="T144" s="38"/>
      <c r="U144" s="76">
        <f t="shared" si="165"/>
        <v>0.75</v>
      </c>
      <c r="V144" s="99"/>
      <c r="W144" s="100"/>
    </row>
    <row r="145" spans="1:23">
      <c r="A145" s="2">
        <v>44866</v>
      </c>
      <c r="B145">
        <f t="shared" si="154"/>
        <v>2022</v>
      </c>
      <c r="C145">
        <f t="shared" si="155"/>
        <v>11</v>
      </c>
      <c r="D145" s="69"/>
      <c r="E145" s="69">
        <f t="shared" si="164"/>
        <v>1378205.8244644934</v>
      </c>
      <c r="F145" s="69"/>
      <c r="G145" s="66">
        <v>366.25</v>
      </c>
      <c r="H145" s="66">
        <v>1.0000000000000142E-2</v>
      </c>
      <c r="I145" s="66">
        <f t="shared" si="156"/>
        <v>366.25</v>
      </c>
      <c r="J145" s="66">
        <f t="shared" si="157"/>
        <v>1.0000000000000142E-2</v>
      </c>
      <c r="K145" s="25">
        <f t="shared" si="166"/>
        <v>30</v>
      </c>
      <c r="L145" s="25">
        <f t="shared" si="166"/>
        <v>1</v>
      </c>
      <c r="M145" s="25">
        <f t="shared" si="160"/>
        <v>0</v>
      </c>
      <c r="N145" s="67">
        <v>39510.5</v>
      </c>
      <c r="O145" s="73">
        <f t="shared" si="161"/>
        <v>274.6875</v>
      </c>
      <c r="P145" s="77">
        <f t="shared" si="162"/>
        <v>7.5000000000001073E-3</v>
      </c>
      <c r="Q145" s="25">
        <f t="shared" si="163"/>
        <v>26589369.579140723</v>
      </c>
      <c r="R145" s="65">
        <f t="shared" si="158"/>
        <v>25211163.75467623</v>
      </c>
      <c r="S145" s="25">
        <f t="shared" si="159"/>
        <v>26589369.579140723</v>
      </c>
      <c r="T145" s="38"/>
      <c r="U145" s="76">
        <f t="shared" si="165"/>
        <v>0.75</v>
      </c>
      <c r="V145" s="99"/>
      <c r="W145" s="100"/>
    </row>
    <row r="146" spans="1:23">
      <c r="A146" s="2">
        <v>44896</v>
      </c>
      <c r="B146">
        <f t="shared" si="154"/>
        <v>2022</v>
      </c>
      <c r="C146">
        <f t="shared" si="155"/>
        <v>12</v>
      </c>
      <c r="D146" s="69"/>
      <c r="E146" s="69">
        <f t="shared" si="164"/>
        <v>1378205.8244644934</v>
      </c>
      <c r="F146" s="69"/>
      <c r="G146" s="66">
        <v>513.3599999999999</v>
      </c>
      <c r="H146" s="66">
        <v>0</v>
      </c>
      <c r="I146" s="66">
        <f t="shared" si="156"/>
        <v>513.3599999999999</v>
      </c>
      <c r="J146" s="66">
        <f t="shared" si="157"/>
        <v>0</v>
      </c>
      <c r="K146" s="25">
        <f t="shared" si="166"/>
        <v>31</v>
      </c>
      <c r="L146" s="25">
        <f t="shared" si="166"/>
        <v>0</v>
      </c>
      <c r="M146" s="25">
        <f t="shared" si="160"/>
        <v>0</v>
      </c>
      <c r="N146" s="67">
        <v>39573</v>
      </c>
      <c r="O146" s="73">
        <f t="shared" si="161"/>
        <v>385.01999999999992</v>
      </c>
      <c r="P146" s="77">
        <f t="shared" si="162"/>
        <v>0</v>
      </c>
      <c r="Q146" s="25">
        <f t="shared" si="163"/>
        <v>31960934.99388472</v>
      </c>
      <c r="R146" s="65">
        <f t="shared" si="158"/>
        <v>30582729.169420227</v>
      </c>
      <c r="S146" s="25">
        <f t="shared" si="159"/>
        <v>31960934.99388472</v>
      </c>
      <c r="T146" s="38"/>
      <c r="U146" s="76">
        <f t="shared" si="165"/>
        <v>0.75</v>
      </c>
      <c r="V146" s="99"/>
      <c r="W146" s="100"/>
    </row>
    <row r="147" spans="1:23" ht="12.75" customHeight="1">
      <c r="A147" s="2">
        <v>44927</v>
      </c>
      <c r="B147">
        <f t="shared" si="154"/>
        <v>2023</v>
      </c>
      <c r="C147">
        <f t="shared" si="155"/>
        <v>1</v>
      </c>
      <c r="D147" s="69"/>
      <c r="E147" s="69">
        <v>1371685.3096250817</v>
      </c>
      <c r="G147" s="66">
        <f t="shared" ref="G147:H158" si="167">G135</f>
        <v>625.5</v>
      </c>
      <c r="H147" s="66">
        <f t="shared" si="167"/>
        <v>0</v>
      </c>
      <c r="I147" s="66">
        <f t="shared" si="156"/>
        <v>625.5</v>
      </c>
      <c r="J147" s="66">
        <f t="shared" si="157"/>
        <v>0</v>
      </c>
      <c r="K147" s="25">
        <f t="shared" si="166"/>
        <v>31</v>
      </c>
      <c r="L147" s="25">
        <f t="shared" si="166"/>
        <v>0</v>
      </c>
      <c r="M147" s="25">
        <f t="shared" si="160"/>
        <v>0</v>
      </c>
      <c r="N147" s="67">
        <v>39652.166666666664</v>
      </c>
      <c r="O147" s="73">
        <f t="shared" si="161"/>
        <v>312.75</v>
      </c>
      <c r="P147" s="77">
        <f t="shared" si="162"/>
        <v>0</v>
      </c>
      <c r="Q147" s="25">
        <f t="shared" si="163"/>
        <v>32875852.315469097</v>
      </c>
      <c r="R147" s="65">
        <f t="shared" si="158"/>
        <v>31504167.005844016</v>
      </c>
      <c r="S147" s="25">
        <f t="shared" si="159"/>
        <v>32875852.315469097</v>
      </c>
      <c r="T147" s="38"/>
      <c r="U147" s="76">
        <v>0.5</v>
      </c>
      <c r="V147" s="23"/>
      <c r="W147" s="30"/>
    </row>
    <row r="148" spans="1:23">
      <c r="A148" s="2">
        <v>44958</v>
      </c>
      <c r="B148">
        <f t="shared" si="154"/>
        <v>2023</v>
      </c>
      <c r="C148">
        <f t="shared" si="155"/>
        <v>2</v>
      </c>
      <c r="D148" s="69"/>
      <c r="E148" s="69">
        <f>E147</f>
        <v>1371685.3096250817</v>
      </c>
      <c r="G148" s="66">
        <f t="shared" si="167"/>
        <v>573.20999999999992</v>
      </c>
      <c r="H148" s="66">
        <f t="shared" si="167"/>
        <v>0</v>
      </c>
      <c r="I148" s="66">
        <f t="shared" si="156"/>
        <v>573.20999999999992</v>
      </c>
      <c r="J148" s="66">
        <f t="shared" si="157"/>
        <v>0</v>
      </c>
      <c r="K148" s="25">
        <f t="shared" si="166"/>
        <v>28</v>
      </c>
      <c r="L148" s="25">
        <f t="shared" si="166"/>
        <v>0</v>
      </c>
      <c r="M148" s="25">
        <f t="shared" si="160"/>
        <v>0</v>
      </c>
      <c r="N148" s="67">
        <v>39731.333333333328</v>
      </c>
      <c r="O148" s="73">
        <f t="shared" si="161"/>
        <v>286.60499999999996</v>
      </c>
      <c r="P148" s="77">
        <f t="shared" si="162"/>
        <v>0</v>
      </c>
      <c r="Q148" s="25">
        <f t="shared" si="163"/>
        <v>30240775.984003138</v>
      </c>
      <c r="R148" s="65">
        <f t="shared" si="158"/>
        <v>28869090.674378056</v>
      </c>
      <c r="S148" s="25">
        <f t="shared" si="159"/>
        <v>30240775.984003138</v>
      </c>
      <c r="T148" s="38"/>
      <c r="U148" s="76">
        <f t="shared" si="165"/>
        <v>0.5</v>
      </c>
      <c r="V148" s="23"/>
      <c r="W148" s="30"/>
    </row>
    <row r="149" spans="1:23">
      <c r="A149" s="2">
        <v>44986</v>
      </c>
      <c r="B149">
        <f t="shared" si="154"/>
        <v>2023</v>
      </c>
      <c r="C149">
        <f t="shared" si="155"/>
        <v>3</v>
      </c>
      <c r="D149" s="69"/>
      <c r="E149" s="69">
        <f t="shared" ref="E149:E158" si="168">E148</f>
        <v>1371685.3096250817</v>
      </c>
      <c r="G149" s="66">
        <f t="shared" si="167"/>
        <v>471.05</v>
      </c>
      <c r="H149" s="66">
        <f t="shared" si="167"/>
        <v>0.3</v>
      </c>
      <c r="I149" s="66">
        <f t="shared" si="156"/>
        <v>471.05</v>
      </c>
      <c r="J149" s="66">
        <f t="shared" si="157"/>
        <v>0.3</v>
      </c>
      <c r="K149" s="25">
        <f t="shared" si="166"/>
        <v>31</v>
      </c>
      <c r="L149" s="25">
        <f t="shared" si="166"/>
        <v>1</v>
      </c>
      <c r="M149" s="25">
        <f t="shared" si="160"/>
        <v>0</v>
      </c>
      <c r="N149" s="67">
        <v>39810.499999999993</v>
      </c>
      <c r="O149" s="73">
        <f t="shared" si="161"/>
        <v>235.52500000000001</v>
      </c>
      <c r="P149" s="77">
        <f t="shared" si="162"/>
        <v>0.15</v>
      </c>
      <c r="Q149" s="25">
        <f t="shared" si="163"/>
        <v>28390486.869109649</v>
      </c>
      <c r="R149" s="65">
        <f t="shared" si="158"/>
        <v>27018801.559484567</v>
      </c>
      <c r="S149" s="25">
        <f t="shared" si="159"/>
        <v>28390486.869109649</v>
      </c>
      <c r="T149" s="38"/>
      <c r="U149" s="76">
        <f t="shared" si="165"/>
        <v>0.5</v>
      </c>
      <c r="V149" s="23"/>
      <c r="W149" s="30"/>
    </row>
    <row r="150" spans="1:23">
      <c r="A150" s="2">
        <v>45017</v>
      </c>
      <c r="B150">
        <f t="shared" si="154"/>
        <v>2023</v>
      </c>
      <c r="C150">
        <f t="shared" si="155"/>
        <v>4</v>
      </c>
      <c r="D150" s="69"/>
      <c r="E150" s="69">
        <f t="shared" si="168"/>
        <v>1371685.3096250817</v>
      </c>
      <c r="G150" s="66">
        <f t="shared" si="167"/>
        <v>285.58000000000004</v>
      </c>
      <c r="H150" s="66">
        <f t="shared" si="167"/>
        <v>0.38999999999999985</v>
      </c>
      <c r="I150" s="66">
        <f t="shared" si="156"/>
        <v>285.58000000000004</v>
      </c>
      <c r="J150" s="66">
        <f t="shared" si="157"/>
        <v>0.38999999999999985</v>
      </c>
      <c r="K150" s="25">
        <f t="shared" si="166"/>
        <v>30</v>
      </c>
      <c r="L150" s="25">
        <f t="shared" si="166"/>
        <v>1</v>
      </c>
      <c r="M150" s="25">
        <f t="shared" si="160"/>
        <v>0</v>
      </c>
      <c r="N150" s="67">
        <v>39889.666666666657</v>
      </c>
      <c r="O150" s="73">
        <f t="shared" si="161"/>
        <v>142.79000000000002</v>
      </c>
      <c r="P150" s="77">
        <f t="shared" si="162"/>
        <v>0.19499999999999992</v>
      </c>
      <c r="Q150" s="25">
        <f t="shared" si="163"/>
        <v>26271979.661197305</v>
      </c>
      <c r="R150" s="65">
        <f t="shared" si="158"/>
        <v>24900294.351572223</v>
      </c>
      <c r="S150" s="25">
        <f t="shared" si="159"/>
        <v>26271979.661197305</v>
      </c>
      <c r="T150" s="38"/>
      <c r="U150" s="76">
        <f t="shared" si="165"/>
        <v>0.5</v>
      </c>
      <c r="V150" s="23"/>
      <c r="W150" s="30"/>
    </row>
    <row r="151" spans="1:23">
      <c r="A151" s="2">
        <v>45047</v>
      </c>
      <c r="B151">
        <f t="shared" si="154"/>
        <v>2023</v>
      </c>
      <c r="C151">
        <f t="shared" si="155"/>
        <v>5</v>
      </c>
      <c r="D151" s="69"/>
      <c r="E151" s="69">
        <f t="shared" si="168"/>
        <v>1371685.3096250817</v>
      </c>
      <c r="G151" s="66">
        <f t="shared" si="167"/>
        <v>93.759999999999991</v>
      </c>
      <c r="H151" s="66">
        <f t="shared" si="167"/>
        <v>43.35</v>
      </c>
      <c r="I151" s="66">
        <f t="shared" si="156"/>
        <v>93.759999999999991</v>
      </c>
      <c r="J151" s="66">
        <f t="shared" si="157"/>
        <v>43.35</v>
      </c>
      <c r="K151" s="25">
        <f t="shared" si="166"/>
        <v>31</v>
      </c>
      <c r="L151" s="25">
        <f t="shared" si="166"/>
        <v>1</v>
      </c>
      <c r="M151" s="25">
        <f t="shared" si="160"/>
        <v>0</v>
      </c>
      <c r="N151" s="67">
        <v>39968.833333333321</v>
      </c>
      <c r="O151" s="73">
        <f t="shared" si="161"/>
        <v>46.879999999999995</v>
      </c>
      <c r="P151" s="77">
        <f t="shared" si="162"/>
        <v>21.675000000000001</v>
      </c>
      <c r="Q151" s="25">
        <f t="shared" si="163"/>
        <v>27869054.627381917</v>
      </c>
      <c r="R151" s="65">
        <f t="shared" si="158"/>
        <v>26497369.317756835</v>
      </c>
      <c r="S151" s="25">
        <f t="shared" si="159"/>
        <v>27869054.627381917</v>
      </c>
      <c r="T151" s="38"/>
      <c r="U151" s="76">
        <f t="shared" si="165"/>
        <v>0.5</v>
      </c>
      <c r="V151" s="23"/>
      <c r="W151" s="30"/>
    </row>
    <row r="152" spans="1:23">
      <c r="A152" s="2">
        <v>45078</v>
      </c>
      <c r="B152">
        <f t="shared" si="154"/>
        <v>2023</v>
      </c>
      <c r="C152">
        <f t="shared" si="155"/>
        <v>6</v>
      </c>
      <c r="D152" s="69"/>
      <c r="E152" s="69">
        <f t="shared" si="168"/>
        <v>1371685.3096250817</v>
      </c>
      <c r="G152" s="66">
        <f t="shared" si="167"/>
        <v>8.7399999999999984</v>
      </c>
      <c r="H152" s="66">
        <f t="shared" si="167"/>
        <v>118.63000000000002</v>
      </c>
      <c r="I152" s="66">
        <f t="shared" si="156"/>
        <v>8.7399999999999984</v>
      </c>
      <c r="J152" s="66">
        <f t="shared" si="157"/>
        <v>118.63000000000002</v>
      </c>
      <c r="K152" s="25">
        <f t="shared" si="166"/>
        <v>30</v>
      </c>
      <c r="L152" s="25">
        <f t="shared" si="166"/>
        <v>0</v>
      </c>
      <c r="M152" s="25">
        <f t="shared" si="160"/>
        <v>0</v>
      </c>
      <c r="N152" s="67">
        <v>40047.999999999985</v>
      </c>
      <c r="O152" s="73">
        <f t="shared" si="161"/>
        <v>4.3699999999999992</v>
      </c>
      <c r="P152" s="77">
        <f t="shared" si="162"/>
        <v>59.315000000000012</v>
      </c>
      <c r="Q152" s="25">
        <f t="shared" si="163"/>
        <v>33875251.938740537</v>
      </c>
      <c r="R152" s="65">
        <f t="shared" si="158"/>
        <v>32503566.629115455</v>
      </c>
      <c r="S152" s="25">
        <f t="shared" si="159"/>
        <v>33875251.938740537</v>
      </c>
      <c r="T152" s="38"/>
      <c r="U152" s="76">
        <f t="shared" si="165"/>
        <v>0.5</v>
      </c>
      <c r="V152" s="23"/>
      <c r="W152" s="30"/>
    </row>
    <row r="153" spans="1:23">
      <c r="A153" s="2">
        <v>45108</v>
      </c>
      <c r="B153">
        <f t="shared" si="154"/>
        <v>2023</v>
      </c>
      <c r="C153">
        <f t="shared" si="155"/>
        <v>7</v>
      </c>
      <c r="D153" s="69"/>
      <c r="E153" s="69">
        <f t="shared" si="168"/>
        <v>1371685.3096250817</v>
      </c>
      <c r="G153" s="66">
        <f t="shared" si="167"/>
        <v>0</v>
      </c>
      <c r="H153" s="66">
        <f t="shared" si="167"/>
        <v>207.41000000000003</v>
      </c>
      <c r="I153" s="66">
        <f t="shared" si="156"/>
        <v>0</v>
      </c>
      <c r="J153" s="66">
        <f t="shared" si="157"/>
        <v>207.41000000000003</v>
      </c>
      <c r="K153" s="25">
        <f t="shared" si="166"/>
        <v>31</v>
      </c>
      <c r="L153" s="25">
        <f t="shared" si="166"/>
        <v>0</v>
      </c>
      <c r="M153" s="25">
        <f t="shared" si="160"/>
        <v>0</v>
      </c>
      <c r="N153" s="67">
        <v>40127.16666666665</v>
      </c>
      <c r="O153" s="73">
        <f t="shared" si="161"/>
        <v>0</v>
      </c>
      <c r="P153" s="77">
        <f t="shared" si="162"/>
        <v>103.70500000000001</v>
      </c>
      <c r="Q153" s="25">
        <f t="shared" si="163"/>
        <v>39259518.529535316</v>
      </c>
      <c r="R153" s="65">
        <f t="shared" si="158"/>
        <v>37887833.219910234</v>
      </c>
      <c r="S153" s="25">
        <f t="shared" si="159"/>
        <v>39259518.529535316</v>
      </c>
      <c r="T153" s="38"/>
      <c r="U153" s="76">
        <f t="shared" si="165"/>
        <v>0.5</v>
      </c>
      <c r="V153" s="23"/>
      <c r="W153" s="30"/>
    </row>
    <row r="154" spans="1:23">
      <c r="A154" s="2">
        <v>45139</v>
      </c>
      <c r="B154">
        <f t="shared" si="154"/>
        <v>2023</v>
      </c>
      <c r="C154">
        <f t="shared" si="155"/>
        <v>8</v>
      </c>
      <c r="D154" s="69"/>
      <c r="E154" s="69">
        <f t="shared" si="168"/>
        <v>1371685.3096250817</v>
      </c>
      <c r="G154" s="66">
        <f t="shared" si="167"/>
        <v>0.29000000000000004</v>
      </c>
      <c r="H154" s="66">
        <f t="shared" si="167"/>
        <v>180.75000000000006</v>
      </c>
      <c r="I154" s="66">
        <f t="shared" si="156"/>
        <v>0.29000000000000004</v>
      </c>
      <c r="J154" s="66">
        <f t="shared" si="157"/>
        <v>180.75000000000006</v>
      </c>
      <c r="K154" s="25">
        <f t="shared" si="166"/>
        <v>31</v>
      </c>
      <c r="L154" s="25">
        <f t="shared" si="166"/>
        <v>0</v>
      </c>
      <c r="M154" s="25">
        <f t="shared" si="160"/>
        <v>0</v>
      </c>
      <c r="N154" s="67">
        <v>40206.333333333314</v>
      </c>
      <c r="O154" s="73">
        <f t="shared" si="161"/>
        <v>0.14500000000000002</v>
      </c>
      <c r="P154" s="77">
        <f t="shared" si="162"/>
        <v>90.375000000000028</v>
      </c>
      <c r="Q154" s="25">
        <f t="shared" si="163"/>
        <v>37930199.823578387</v>
      </c>
      <c r="R154" s="65">
        <f t="shared" si="158"/>
        <v>36558514.513953306</v>
      </c>
      <c r="S154" s="25">
        <f t="shared" si="159"/>
        <v>37930199.823578387</v>
      </c>
      <c r="T154" s="38"/>
      <c r="U154" s="76">
        <f t="shared" si="165"/>
        <v>0.5</v>
      </c>
      <c r="V154" s="23"/>
      <c r="W154" s="30"/>
    </row>
    <row r="155" spans="1:23">
      <c r="A155" s="2">
        <v>45170</v>
      </c>
      <c r="B155">
        <f t="shared" si="154"/>
        <v>2023</v>
      </c>
      <c r="C155">
        <f t="shared" si="155"/>
        <v>9</v>
      </c>
      <c r="D155" s="69"/>
      <c r="E155" s="69">
        <f t="shared" si="168"/>
        <v>1371685.3096250817</v>
      </c>
      <c r="G155" s="66">
        <f t="shared" si="167"/>
        <v>27</v>
      </c>
      <c r="H155" s="66">
        <f t="shared" si="167"/>
        <v>80.61</v>
      </c>
      <c r="I155" s="66">
        <f t="shared" si="156"/>
        <v>27</v>
      </c>
      <c r="J155" s="66">
        <f t="shared" si="157"/>
        <v>80.61</v>
      </c>
      <c r="K155" s="25">
        <f t="shared" si="166"/>
        <v>30</v>
      </c>
      <c r="L155" s="25">
        <f t="shared" si="166"/>
        <v>1</v>
      </c>
      <c r="M155" s="25">
        <f t="shared" si="160"/>
        <v>1</v>
      </c>
      <c r="N155" s="67">
        <v>40285.499999999978</v>
      </c>
      <c r="O155" s="73">
        <f t="shared" si="161"/>
        <v>13.5</v>
      </c>
      <c r="P155" s="77">
        <f t="shared" si="162"/>
        <v>40.305</v>
      </c>
      <c r="Q155" s="25">
        <f t="shared" si="163"/>
        <v>30451791.682528783</v>
      </c>
      <c r="R155" s="65">
        <f t="shared" si="158"/>
        <v>29080106.372903701</v>
      </c>
      <c r="S155" s="25">
        <f t="shared" si="159"/>
        <v>30451791.682528783</v>
      </c>
      <c r="T155" s="38"/>
      <c r="U155" s="76">
        <f t="shared" si="165"/>
        <v>0.5</v>
      </c>
      <c r="V155" s="23"/>
      <c r="W155" s="30"/>
    </row>
    <row r="156" spans="1:23">
      <c r="A156" s="2">
        <v>45200</v>
      </c>
      <c r="B156">
        <f t="shared" si="154"/>
        <v>2023</v>
      </c>
      <c r="C156">
        <f t="shared" si="155"/>
        <v>10</v>
      </c>
      <c r="D156" s="69"/>
      <c r="E156" s="69">
        <f t="shared" si="168"/>
        <v>1371685.3096250817</v>
      </c>
      <c r="G156" s="66">
        <f t="shared" si="167"/>
        <v>167.57</v>
      </c>
      <c r="H156" s="66">
        <f t="shared" si="167"/>
        <v>9.9699999999999989</v>
      </c>
      <c r="I156" s="66">
        <f t="shared" si="156"/>
        <v>167.57</v>
      </c>
      <c r="J156" s="66">
        <f t="shared" si="157"/>
        <v>9.9699999999999989</v>
      </c>
      <c r="K156" s="25">
        <f t="shared" si="166"/>
        <v>31</v>
      </c>
      <c r="L156" s="25">
        <f t="shared" si="166"/>
        <v>1</v>
      </c>
      <c r="M156" s="25">
        <f t="shared" si="160"/>
        <v>0</v>
      </c>
      <c r="N156" s="67">
        <v>40364.666666666642</v>
      </c>
      <c r="O156" s="73">
        <f t="shared" si="161"/>
        <v>83.784999999999997</v>
      </c>
      <c r="P156" s="77">
        <f t="shared" si="162"/>
        <v>4.9849999999999994</v>
      </c>
      <c r="Q156" s="25">
        <f t="shared" si="163"/>
        <v>26984102.756493408</v>
      </c>
      <c r="R156" s="65">
        <f t="shared" si="158"/>
        <v>25612417.446868327</v>
      </c>
      <c r="S156" s="25">
        <f t="shared" si="159"/>
        <v>26984102.756493408</v>
      </c>
      <c r="T156" s="38"/>
      <c r="U156" s="76">
        <f t="shared" si="165"/>
        <v>0.5</v>
      </c>
      <c r="V156" s="23"/>
      <c r="W156" s="30"/>
    </row>
    <row r="157" spans="1:23">
      <c r="A157" s="2">
        <v>45231</v>
      </c>
      <c r="B157">
        <f t="shared" si="154"/>
        <v>2023</v>
      </c>
      <c r="C157">
        <f t="shared" si="155"/>
        <v>11</v>
      </c>
      <c r="D157" s="69"/>
      <c r="E157" s="69">
        <f t="shared" si="168"/>
        <v>1371685.3096250817</v>
      </c>
      <c r="G157" s="66">
        <f t="shared" si="167"/>
        <v>366.25</v>
      </c>
      <c r="H157" s="66">
        <f t="shared" si="167"/>
        <v>1.0000000000000142E-2</v>
      </c>
      <c r="I157" s="66">
        <f t="shared" si="156"/>
        <v>366.25</v>
      </c>
      <c r="J157" s="66">
        <f t="shared" si="157"/>
        <v>1.0000000000000142E-2</v>
      </c>
      <c r="K157" s="25">
        <f t="shared" si="166"/>
        <v>30</v>
      </c>
      <c r="L157" s="25">
        <f t="shared" si="166"/>
        <v>1</v>
      </c>
      <c r="M157" s="25">
        <f t="shared" si="160"/>
        <v>0</v>
      </c>
      <c r="N157" s="67">
        <v>40443.833333333307</v>
      </c>
      <c r="O157" s="73">
        <f t="shared" si="161"/>
        <v>183.125</v>
      </c>
      <c r="P157" s="77">
        <f t="shared" si="162"/>
        <v>5.0000000000000712E-3</v>
      </c>
      <c r="Q157" s="25">
        <f t="shared" si="163"/>
        <v>27276263.261978172</v>
      </c>
      <c r="R157" s="65">
        <f t="shared" si="158"/>
        <v>25904577.95235309</v>
      </c>
      <c r="S157" s="25">
        <f t="shared" si="159"/>
        <v>27276263.261978172</v>
      </c>
      <c r="T157" s="38"/>
      <c r="U157" s="76">
        <f t="shared" si="165"/>
        <v>0.5</v>
      </c>
      <c r="V157" s="23"/>
    </row>
    <row r="158" spans="1:23">
      <c r="A158" s="2">
        <v>45261</v>
      </c>
      <c r="B158">
        <f t="shared" si="154"/>
        <v>2023</v>
      </c>
      <c r="C158">
        <f t="shared" si="155"/>
        <v>12</v>
      </c>
      <c r="D158" s="69"/>
      <c r="E158" s="69">
        <f t="shared" si="168"/>
        <v>1371685.3096250817</v>
      </c>
      <c r="G158" s="66">
        <f t="shared" si="167"/>
        <v>513.3599999999999</v>
      </c>
      <c r="H158" s="66">
        <f t="shared" si="167"/>
        <v>0</v>
      </c>
      <c r="I158" s="66">
        <f>G158</f>
        <v>513.3599999999999</v>
      </c>
      <c r="J158" s="66">
        <f>H158</f>
        <v>0</v>
      </c>
      <c r="K158" s="25">
        <f t="shared" ref="K158:L158" si="169">K110</f>
        <v>31</v>
      </c>
      <c r="L158" s="25">
        <f t="shared" si="169"/>
        <v>0</v>
      </c>
      <c r="M158" s="25">
        <f t="shared" si="160"/>
        <v>0</v>
      </c>
      <c r="N158" s="67">
        <v>40522.999999999971</v>
      </c>
      <c r="O158" s="73">
        <f t="shared" si="161"/>
        <v>256.67999999999995</v>
      </c>
      <c r="P158" s="77">
        <f t="shared" si="162"/>
        <v>0</v>
      </c>
      <c r="Q158" s="25">
        <f t="shared" si="163"/>
        <v>32660094.635344263</v>
      </c>
      <c r="R158" s="65">
        <f t="shared" si="158"/>
        <v>31288409.325719181</v>
      </c>
      <c r="S158" s="25">
        <f t="shared" si="159"/>
        <v>32660094.635344263</v>
      </c>
      <c r="T158" s="38"/>
      <c r="U158" s="76">
        <f t="shared" si="165"/>
        <v>0.5</v>
      </c>
      <c r="V158" s="23"/>
    </row>
    <row r="159" spans="1:23">
      <c r="A159" s="2"/>
      <c r="B159" s="2"/>
      <c r="C159" s="2"/>
      <c r="D159" s="2"/>
      <c r="E159" s="2"/>
      <c r="G159" s="40">
        <f>SUM(G3:G158)</f>
        <v>40731.520000000011</v>
      </c>
      <c r="H159" s="40">
        <f>SUM(H3:H158)</f>
        <v>8351.24</v>
      </c>
      <c r="I159" s="40"/>
      <c r="J159" s="40"/>
      <c r="K159" s="25"/>
      <c r="L159" s="25"/>
      <c r="M159" s="25"/>
      <c r="N159" s="44"/>
      <c r="O159" s="25"/>
      <c r="P159" s="25"/>
      <c r="Q159" s="25"/>
      <c r="R159" s="38"/>
      <c r="S159" s="25"/>
      <c r="T159" s="38"/>
    </row>
    <row r="160" spans="1:23">
      <c r="A160" s="2"/>
      <c r="B160" s="2"/>
      <c r="C160" s="2"/>
      <c r="D160" s="2"/>
      <c r="E160" s="2"/>
      <c r="G160" s="40"/>
      <c r="H160" s="40"/>
      <c r="I160" s="40"/>
      <c r="J160" s="40"/>
      <c r="K160" s="25"/>
      <c r="L160" s="25"/>
      <c r="M160" s="25"/>
      <c r="N160" s="44"/>
      <c r="O160" s="25"/>
      <c r="P160" s="25"/>
      <c r="Q160" s="25"/>
      <c r="R160" s="38"/>
      <c r="S160" s="25"/>
      <c r="T160" s="38"/>
    </row>
    <row r="161" spans="1:35">
      <c r="A161" s="2"/>
      <c r="B161" s="2"/>
      <c r="C161" s="2"/>
      <c r="D161" s="2"/>
      <c r="E161" s="2"/>
      <c r="G161" s="40"/>
      <c r="H161" s="40"/>
      <c r="I161" s="40"/>
      <c r="J161" s="40"/>
      <c r="K161" s="25"/>
      <c r="L161" s="25"/>
      <c r="M161" s="25"/>
      <c r="N161" s="44"/>
      <c r="O161" s="25"/>
      <c r="P161" s="25"/>
      <c r="Q161" s="25"/>
      <c r="R161" s="38"/>
      <c r="S161" s="25"/>
      <c r="T161" s="38"/>
    </row>
    <row r="162" spans="1:35">
      <c r="A162" s="2"/>
      <c r="B162" s="2"/>
      <c r="C162" s="2"/>
      <c r="D162" s="2"/>
      <c r="E162" s="2"/>
      <c r="G162" s="40"/>
      <c r="H162" s="40"/>
      <c r="I162" s="40"/>
      <c r="J162" s="40"/>
      <c r="K162" s="25"/>
      <c r="L162" s="25"/>
      <c r="M162" s="25"/>
      <c r="N162" s="44"/>
      <c r="O162" s="25"/>
      <c r="P162" s="25"/>
      <c r="Q162" s="25"/>
      <c r="R162" s="38"/>
      <c r="S162" s="25"/>
      <c r="T162" s="38"/>
    </row>
    <row r="163" spans="1:35">
      <c r="A163" s="2"/>
      <c r="B163" s="2"/>
      <c r="C163" s="2"/>
      <c r="D163" s="2"/>
      <c r="E163" s="2"/>
      <c r="G163" s="40"/>
      <c r="H163" s="40"/>
      <c r="I163" s="40"/>
      <c r="J163" s="22"/>
      <c r="K163" s="22"/>
      <c r="Q163" s="20"/>
    </row>
    <row r="164" spans="1:35">
      <c r="A164" s="2"/>
      <c r="B164" s="2"/>
      <c r="C164" s="2"/>
      <c r="D164" s="2"/>
      <c r="E164" s="2"/>
    </row>
    <row r="165" spans="1:35">
      <c r="A165" s="2"/>
      <c r="B165" s="2"/>
      <c r="C165" s="2"/>
      <c r="D165" s="68" t="s">
        <v>76</v>
      </c>
      <c r="E165" s="68" t="s">
        <v>58</v>
      </c>
      <c r="F165" s="29" t="s">
        <v>59</v>
      </c>
      <c r="Q165" s="61" t="s">
        <v>77</v>
      </c>
      <c r="R165" s="61" t="s">
        <v>58</v>
      </c>
      <c r="S165" s="61" t="s">
        <v>78</v>
      </c>
    </row>
    <row r="166" spans="1:35">
      <c r="A166" s="10">
        <v>2011</v>
      </c>
      <c r="B166" s="10"/>
      <c r="C166" s="10"/>
      <c r="D166" s="30">
        <f>SUMIF(B:B,A166,D:D)</f>
        <v>268725506.51999998</v>
      </c>
      <c r="E166" s="30">
        <f>SUMIF(B:B,A166,E:E)</f>
        <v>278492.94390389865</v>
      </c>
      <c r="F166" s="5">
        <f>SUMIF(B:B,A166,F:F)</f>
        <v>269003999.46390384</v>
      </c>
      <c r="Q166" s="5">
        <f t="shared" ref="Q166:Q177" si="170">SUMIF(B:B,A166,Q:Q)</f>
        <v>263231826.56272331</v>
      </c>
      <c r="R166" s="42">
        <v>278492.9439038987</v>
      </c>
      <c r="S166" s="42">
        <f>SUMIF(B:B,A166,R:R)</f>
        <v>262953333.61881942</v>
      </c>
      <c r="T166" s="4"/>
    </row>
    <row r="167" spans="1:35">
      <c r="A167" s="10">
        <f>A166+1</f>
        <v>2012</v>
      </c>
      <c r="B167" s="10"/>
      <c r="C167" s="10"/>
      <c r="D167" s="30">
        <f t="shared" ref="D167:D175" si="171">SUMIF(B:B,A167,D:D)</f>
        <v>281220954.64999998</v>
      </c>
      <c r="E167" s="30">
        <f t="shared" ref="E167:E176" si="172">SUMIF(B:B,A167,E:E)</f>
        <v>721831.67732693173</v>
      </c>
      <c r="F167" s="5">
        <f t="shared" ref="F167:F176" si="173">SUMIF(B:B,A167,F:F)</f>
        <v>281942786.32732689</v>
      </c>
      <c r="Q167" s="5">
        <f t="shared" si="170"/>
        <v>281622890.50718033</v>
      </c>
      <c r="R167" s="42">
        <v>721831.67732693185</v>
      </c>
      <c r="S167" s="42">
        <f t="shared" ref="S167:S178" si="174">SUMIF(B:B,A167,R:R)</f>
        <v>280901058.82985342</v>
      </c>
      <c r="T167" s="4"/>
    </row>
    <row r="168" spans="1:35">
      <c r="A168" s="10">
        <f t="shared" ref="A168:A178" si="175">A167+1</f>
        <v>2013</v>
      </c>
      <c r="B168" s="10"/>
      <c r="C168" s="10"/>
      <c r="D168" s="30">
        <f t="shared" si="171"/>
        <v>287291133.52999997</v>
      </c>
      <c r="E168" s="30">
        <f t="shared" si="172"/>
        <v>1069944.6183750697</v>
      </c>
      <c r="F168" s="5">
        <f t="shared" si="173"/>
        <v>288361078.14837503</v>
      </c>
      <c r="Q168" s="5">
        <f t="shared" si="170"/>
        <v>292371118.99307203</v>
      </c>
      <c r="R168" s="42">
        <v>1069944.6183750697</v>
      </c>
      <c r="S168" s="42">
        <f t="shared" si="174"/>
        <v>291301174.37469697</v>
      </c>
      <c r="T168" s="4"/>
    </row>
    <row r="169" spans="1:35">
      <c r="A169" s="10">
        <f t="shared" si="175"/>
        <v>2014</v>
      </c>
      <c r="D169" s="30">
        <f t="shared" si="171"/>
        <v>290591982.63</v>
      </c>
      <c r="E169" s="30">
        <f t="shared" si="172"/>
        <v>2046448.2872741346</v>
      </c>
      <c r="F169" s="5">
        <f t="shared" si="173"/>
        <v>292638430.91727418</v>
      </c>
      <c r="Q169" s="5">
        <f t="shared" si="170"/>
        <v>298086890.28292167</v>
      </c>
      <c r="R169" s="42">
        <v>2046448.2872741348</v>
      </c>
      <c r="S169" s="42">
        <f t="shared" si="174"/>
        <v>296040441.99564749</v>
      </c>
      <c r="T169" s="4"/>
    </row>
    <row r="170" spans="1:35">
      <c r="A170" s="10">
        <f t="shared" si="175"/>
        <v>2015</v>
      </c>
      <c r="B170" s="10"/>
      <c r="C170" s="10"/>
      <c r="D170" s="30">
        <f t="shared" si="171"/>
        <v>295940879.87469882</v>
      </c>
      <c r="E170" s="30">
        <f t="shared" si="172"/>
        <v>3804024.9288133155</v>
      </c>
      <c r="F170" s="5">
        <f t="shared" si="173"/>
        <v>299744904.8035121</v>
      </c>
      <c r="Q170" s="5">
        <f t="shared" si="170"/>
        <v>301848810.56976211</v>
      </c>
      <c r="R170" s="42">
        <v>3804024.9288133159</v>
      </c>
      <c r="S170" s="42">
        <f t="shared" si="174"/>
        <v>298044785.64094877</v>
      </c>
      <c r="T170" s="4"/>
      <c r="AG170" s="29"/>
      <c r="AH170" s="29"/>
      <c r="AI170" s="29"/>
    </row>
    <row r="171" spans="1:35">
      <c r="A171" s="10">
        <f t="shared" si="175"/>
        <v>2016</v>
      </c>
      <c r="D171" s="30">
        <f t="shared" si="171"/>
        <v>310749015.99036139</v>
      </c>
      <c r="E171" s="30">
        <f t="shared" si="172"/>
        <v>6041275.5090756081</v>
      </c>
      <c r="F171" s="5">
        <f t="shared" si="173"/>
        <v>316790291.49943697</v>
      </c>
      <c r="Q171" s="5">
        <f t="shared" si="170"/>
        <v>309068813.37254971</v>
      </c>
      <c r="R171" s="42">
        <v>6041275.5090756072</v>
      </c>
      <c r="S171" s="42">
        <f t="shared" si="174"/>
        <v>303027537.86347407</v>
      </c>
      <c r="T171" s="4"/>
    </row>
    <row r="172" spans="1:35">
      <c r="A172" s="10">
        <f t="shared" si="175"/>
        <v>2017</v>
      </c>
      <c r="B172" s="10"/>
      <c r="C172" s="10"/>
      <c r="D172" s="30">
        <f t="shared" si="171"/>
        <v>294253405.64819276</v>
      </c>
      <c r="E172" s="30">
        <f t="shared" si="172"/>
        <v>11501759.853604494</v>
      </c>
      <c r="F172" s="5">
        <f t="shared" si="173"/>
        <v>305755165.50179738</v>
      </c>
      <c r="Q172" s="5">
        <f t="shared" si="170"/>
        <v>310698300.10679764</v>
      </c>
      <c r="R172" s="42">
        <v>11501759.853604492</v>
      </c>
      <c r="S172" s="42">
        <f t="shared" si="174"/>
        <v>299196540.25319314</v>
      </c>
      <c r="T172" s="4"/>
    </row>
    <row r="173" spans="1:35">
      <c r="A173" s="10">
        <f t="shared" si="175"/>
        <v>2018</v>
      </c>
      <c r="D173" s="30">
        <f t="shared" si="171"/>
        <v>323623192.28915668</v>
      </c>
      <c r="E173" s="30">
        <f t="shared" si="172"/>
        <v>15382195.680825928</v>
      </c>
      <c r="F173" s="5">
        <f t="shared" si="173"/>
        <v>339005387.96998256</v>
      </c>
      <c r="Q173" s="5">
        <f t="shared" si="170"/>
        <v>331681466.37007183</v>
      </c>
      <c r="R173" s="42">
        <v>15382195.680825928</v>
      </c>
      <c r="S173" s="42">
        <f t="shared" si="174"/>
        <v>316299270.68924588</v>
      </c>
      <c r="T173" s="4"/>
    </row>
    <row r="174" spans="1:35">
      <c r="A174" s="10">
        <f t="shared" si="175"/>
        <v>2019</v>
      </c>
      <c r="B174" s="10"/>
      <c r="C174" s="10"/>
      <c r="D174" s="30">
        <f t="shared" si="171"/>
        <v>316413176.16385555</v>
      </c>
      <c r="E174" s="30">
        <f t="shared" si="172"/>
        <v>16904286.956643324</v>
      </c>
      <c r="F174" s="5">
        <f t="shared" si="173"/>
        <v>333317463.12049884</v>
      </c>
      <c r="Q174" s="5">
        <f t="shared" si="170"/>
        <v>336365466.55534184</v>
      </c>
      <c r="R174" s="42">
        <v>16904286.956643321</v>
      </c>
      <c r="S174" s="42">
        <f t="shared" si="174"/>
        <v>319461179.59869856</v>
      </c>
      <c r="T174" s="4"/>
    </row>
    <row r="175" spans="1:35">
      <c r="A175" s="10">
        <f t="shared" si="175"/>
        <v>2020</v>
      </c>
      <c r="D175" s="30">
        <f t="shared" si="171"/>
        <v>353805930.95903623</v>
      </c>
      <c r="E175" s="30">
        <f t="shared" si="172"/>
        <v>16711723.878813386</v>
      </c>
      <c r="F175" s="5">
        <f t="shared" si="173"/>
        <v>370517654.83784956</v>
      </c>
      <c r="Q175" s="5">
        <f t="shared" si="170"/>
        <v>368118928.09020293</v>
      </c>
      <c r="R175" s="42">
        <v>16711723.878813386</v>
      </c>
      <c r="S175" s="42">
        <f t="shared" si="174"/>
        <v>351407204.21138948</v>
      </c>
      <c r="T175" s="4"/>
      <c r="U175" s="5"/>
    </row>
    <row r="176" spans="1:35">
      <c r="A176" s="10">
        <f t="shared" si="175"/>
        <v>2021</v>
      </c>
      <c r="B176" s="10"/>
      <c r="C176" s="10"/>
      <c r="D176" s="30">
        <f>SUMIF(B:B,A176,D:D)</f>
        <v>360408160.45301205</v>
      </c>
      <c r="E176" s="30">
        <f t="shared" si="172"/>
        <v>16576186.306711921</v>
      </c>
      <c r="F176" s="5">
        <f t="shared" si="173"/>
        <v>376984346.75972396</v>
      </c>
      <c r="Q176" s="5">
        <f t="shared" si="170"/>
        <v>375194825.03787738</v>
      </c>
      <c r="R176" s="42">
        <v>16576186.30671192</v>
      </c>
      <c r="S176" s="42">
        <f t="shared" si="174"/>
        <v>358618638.73116547</v>
      </c>
      <c r="T176" s="4"/>
      <c r="U176" s="5"/>
    </row>
    <row r="177" spans="1:35">
      <c r="A177" s="10">
        <f t="shared" si="175"/>
        <v>2022</v>
      </c>
      <c r="B177" s="10"/>
      <c r="C177" s="10"/>
      <c r="D177" s="30"/>
      <c r="E177" s="30"/>
      <c r="Q177" s="5">
        <f t="shared" si="170"/>
        <v>366505009.65690374</v>
      </c>
      <c r="R177" s="42">
        <v>16538469.893573921</v>
      </c>
      <c r="S177" s="42">
        <f t="shared" si="174"/>
        <v>349966539.7633298</v>
      </c>
      <c r="T177" s="4"/>
    </row>
    <row r="178" spans="1:35">
      <c r="A178" s="10">
        <f t="shared" si="175"/>
        <v>2023</v>
      </c>
      <c r="D178" s="30"/>
      <c r="E178" s="30"/>
      <c r="L178" s="32"/>
      <c r="M178" s="32"/>
      <c r="N178" s="41"/>
      <c r="O178" s="32"/>
      <c r="P178" s="32"/>
      <c r="Q178" s="5">
        <f>SUMIF(B:B,A178,Q:Q)</f>
        <v>374085372.08535993</v>
      </c>
      <c r="R178" s="42">
        <v>16460223.715500981</v>
      </c>
      <c r="S178" s="42">
        <f t="shared" si="174"/>
        <v>357625148.36985892</v>
      </c>
      <c r="T178" s="4"/>
      <c r="U178" s="60"/>
    </row>
    <row r="179" spans="1:35">
      <c r="AG179" s="29"/>
      <c r="AH179" s="29"/>
      <c r="AI179" s="29"/>
    </row>
    <row r="190" spans="1:35">
      <c r="AG190" s="29"/>
      <c r="AH190" s="29"/>
      <c r="AI190" s="29"/>
    </row>
  </sheetData>
  <mergeCells count="3">
    <mergeCell ref="V144:V146"/>
    <mergeCell ref="W144:W146"/>
    <mergeCell ref="A1:F1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20" max="1048575" man="1"/>
    <brk id="30" max="2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7068-9B3F-4F61-AD9F-5974DCA5382E}">
  <sheetPr>
    <tabColor theme="9" tint="0.79998168889431442"/>
  </sheetPr>
  <dimension ref="A1:AY190"/>
  <sheetViews>
    <sheetView zoomScale="80" zoomScaleNormal="80" workbookViewId="0">
      <pane xSplit="1" ySplit="2" topLeftCell="B93" activePane="bottomRight" state="frozen"/>
      <selection activeCell="V159" sqref="V159"/>
      <selection pane="topRight" activeCell="V159" sqref="V159"/>
      <selection pane="bottomLeft" activeCell="V159" sqref="V159"/>
      <selection pane="bottomRight" activeCell="I137" sqref="I137"/>
    </sheetView>
  </sheetViews>
  <sheetFormatPr defaultRowHeight="12.75"/>
  <cols>
    <col min="1" max="3" width="11.85546875" customWidth="1"/>
    <col min="4" max="4" width="14.140625" customWidth="1"/>
    <col min="5" max="5" width="14.7109375" customWidth="1"/>
    <col min="6" max="6" width="13" style="5" bestFit="1" customWidth="1"/>
    <col min="7" max="7" width="13" style="1" customWidth="1"/>
    <col min="8" max="10" width="12.85546875" style="1" customWidth="1"/>
    <col min="11" max="11" width="15.42578125" style="1" customWidth="1"/>
    <col min="12" max="13" width="8" style="1" customWidth="1"/>
    <col min="14" max="14" width="13.5703125" style="42" bestFit="1" customWidth="1"/>
    <col min="15" max="15" width="13.140625" style="1" customWidth="1"/>
    <col min="16" max="16" width="14.7109375" style="1" customWidth="1"/>
    <col min="17" max="17" width="19.42578125" style="1" bestFit="1" customWidth="1"/>
    <col min="18" max="18" width="14.5703125" style="1" customWidth="1"/>
    <col min="19" max="19" width="15.140625" style="1" bestFit="1" customWidth="1"/>
    <col min="20" max="20" width="13.42578125" style="1" bestFit="1" customWidth="1"/>
    <col min="21" max="21" width="22.42578125" bestFit="1" customWidth="1"/>
    <col min="22" max="22" width="17.7109375" customWidth="1"/>
    <col min="23" max="23" width="18.85546875" bestFit="1" customWidth="1"/>
    <col min="24" max="24" width="13.7109375" bestFit="1" customWidth="1"/>
    <col min="25" max="25" width="13" bestFit="1" customWidth="1"/>
    <col min="26" max="26" width="14.85546875" bestFit="1" customWidth="1"/>
    <col min="27" max="29" width="13.7109375" bestFit="1" customWidth="1"/>
    <col min="30" max="31" width="13" bestFit="1" customWidth="1"/>
    <col min="32" max="32" width="12.28515625" bestFit="1" customWidth="1"/>
    <col min="33" max="34" width="12.28515625" style="5" bestFit="1" customWidth="1"/>
    <col min="35" max="41" width="12.7109375" style="5" customWidth="1"/>
    <col min="42" max="51" width="12.7109375" customWidth="1"/>
  </cols>
  <sheetData>
    <row r="1" spans="1:47" ht="20.25" customHeight="1">
      <c r="A1" s="94" t="s">
        <v>97</v>
      </c>
      <c r="B1" s="94"/>
      <c r="C1" s="94"/>
      <c r="D1" s="94"/>
      <c r="E1" s="94"/>
      <c r="F1" s="94"/>
    </row>
    <row r="2" spans="1:47" ht="42" customHeight="1">
      <c r="D2" s="22" t="s">
        <v>57</v>
      </c>
      <c r="E2" s="22" t="s">
        <v>58</v>
      </c>
      <c r="F2" s="6" t="s">
        <v>59</v>
      </c>
      <c r="G2" s="63" t="s">
        <v>5</v>
      </c>
      <c r="H2" s="63" t="s">
        <v>6</v>
      </c>
      <c r="I2" s="8" t="s">
        <v>90</v>
      </c>
      <c r="J2" s="8" t="s">
        <v>91</v>
      </c>
      <c r="K2" s="8" t="s">
        <v>60</v>
      </c>
      <c r="L2" s="8" t="s">
        <v>61</v>
      </c>
      <c r="M2" s="8" t="s">
        <v>7</v>
      </c>
      <c r="N2" s="43" t="s">
        <v>62</v>
      </c>
      <c r="O2" s="8" t="s">
        <v>71</v>
      </c>
      <c r="P2" s="8" t="s">
        <v>72</v>
      </c>
      <c r="Q2" s="8" t="s">
        <v>92</v>
      </c>
      <c r="R2" s="8" t="s">
        <v>93</v>
      </c>
      <c r="S2" s="8" t="s">
        <v>65</v>
      </c>
      <c r="T2" s="8" t="s">
        <v>66</v>
      </c>
      <c r="AG2" s="7"/>
      <c r="AH2" s="7"/>
      <c r="AI2" s="7"/>
    </row>
    <row r="3" spans="1:47" ht="12.75" customHeight="1">
      <c r="A3" s="2">
        <v>40544</v>
      </c>
      <c r="B3">
        <f>YEAR(A3)</f>
        <v>2011</v>
      </c>
      <c r="C3">
        <f>MONTH(A3)</f>
        <v>1</v>
      </c>
      <c r="D3" s="69">
        <v>23710157.339999959</v>
      </c>
      <c r="E3" s="69">
        <v>23207.745325324893</v>
      </c>
      <c r="F3" s="69">
        <v>23733365.085325282</v>
      </c>
      <c r="G3" s="63">
        <v>713.3</v>
      </c>
      <c r="H3" s="63">
        <v>0</v>
      </c>
      <c r="I3" s="66">
        <f t="shared" ref="I3:J18" si="0">I15</f>
        <v>619.82052631578927</v>
      </c>
      <c r="J3" s="66">
        <f t="shared" si="0"/>
        <v>0</v>
      </c>
      <c r="K3" s="25">
        <v>31</v>
      </c>
      <c r="L3" s="25">
        <v>0</v>
      </c>
      <c r="M3" s="25">
        <v>0</v>
      </c>
      <c r="N3" s="30">
        <v>26615</v>
      </c>
      <c r="O3" s="87">
        <v>0</v>
      </c>
      <c r="P3" s="59">
        <v>0</v>
      </c>
      <c r="Q3" s="25">
        <f>F3+(I3-G3)*$V$20+(J3-H3)*$V$21</f>
        <v>18860239.580855645</v>
      </c>
      <c r="R3" s="65">
        <f>Q3-E3</f>
        <v>18837031.835530322</v>
      </c>
      <c r="S3" s="25">
        <f>+Q3-F3</f>
        <v>-4873125.5044696368</v>
      </c>
      <c r="T3" s="38">
        <f>ABS(S3/F3)</f>
        <v>0.20532804711636818</v>
      </c>
      <c r="U3" t="s">
        <v>67</v>
      </c>
      <c r="AG3"/>
      <c r="AH3" s="29"/>
      <c r="AI3" s="48"/>
      <c r="AJ3" s="39"/>
      <c r="AK3" s="56"/>
      <c r="AL3" s="56"/>
      <c r="AM3" s="78"/>
      <c r="AN3" s="56"/>
      <c r="AO3" s="56"/>
      <c r="AP3" s="75"/>
      <c r="AQ3" s="78"/>
      <c r="AR3" s="50"/>
      <c r="AS3" s="50"/>
      <c r="AT3" s="5"/>
    </row>
    <row r="4" spans="1:47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69">
        <v>22287321.790000025</v>
      </c>
      <c r="E4" s="69">
        <v>23207.745325324893</v>
      </c>
      <c r="F4" s="69">
        <v>22310529.535325348</v>
      </c>
      <c r="G4" s="63">
        <v>598.20000000000016</v>
      </c>
      <c r="H4" s="63">
        <v>0</v>
      </c>
      <c r="I4" s="66">
        <f t="shared" si="0"/>
        <v>570.53578947368419</v>
      </c>
      <c r="J4" s="66">
        <f t="shared" si="0"/>
        <v>0</v>
      </c>
      <c r="K4" s="25">
        <v>28</v>
      </c>
      <c r="L4" s="25">
        <v>0</v>
      </c>
      <c r="M4" s="25">
        <v>0</v>
      </c>
      <c r="N4" s="30">
        <v>26654</v>
      </c>
      <c r="O4" s="87">
        <v>0</v>
      </c>
      <c r="P4" s="59">
        <v>0</v>
      </c>
      <c r="Q4" s="25">
        <f>F4+(I4-G4)*$V$20+(J4-H4)*$V$21</f>
        <v>20868382.242838204</v>
      </c>
      <c r="R4" s="65">
        <f t="shared" ref="R4:R67" si="3">Q4-E4</f>
        <v>20845174.497512881</v>
      </c>
      <c r="S4" s="25">
        <f t="shared" ref="S4:S67" si="4">+Q4-F4</f>
        <v>-1442147.2924871445</v>
      </c>
      <c r="T4" s="38">
        <f t="shared" ref="T4:T67" si="5">ABS(S4/F4)</f>
        <v>6.4639760800106624E-2</v>
      </c>
      <c r="AG4"/>
      <c r="AH4" s="29"/>
      <c r="AI4" s="39"/>
      <c r="AJ4" s="56"/>
      <c r="AK4" s="56"/>
      <c r="AL4" s="56"/>
      <c r="AM4" s="75"/>
      <c r="AN4" s="79"/>
      <c r="AO4" s="56"/>
      <c r="AP4" s="75"/>
      <c r="AQ4" s="75"/>
      <c r="AR4" s="50"/>
      <c r="AS4" s="50"/>
      <c r="AT4" s="5"/>
    </row>
    <row r="5" spans="1:47">
      <c r="A5" s="2">
        <v>40603</v>
      </c>
      <c r="B5">
        <f t="shared" si="1"/>
        <v>2011</v>
      </c>
      <c r="C5">
        <f t="shared" si="2"/>
        <v>3</v>
      </c>
      <c r="D5" s="69">
        <v>20538303.360000029</v>
      </c>
      <c r="E5" s="69">
        <v>23207.745325324893</v>
      </c>
      <c r="F5" s="69">
        <v>20561511.105325352</v>
      </c>
      <c r="G5" s="63">
        <v>510.79999999999995</v>
      </c>
      <c r="H5" s="63">
        <v>0</v>
      </c>
      <c r="I5" s="66">
        <f t="shared" si="0"/>
        <v>461.49315789473712</v>
      </c>
      <c r="J5" s="66">
        <f t="shared" si="0"/>
        <v>0.17368421052631611</v>
      </c>
      <c r="K5" s="25">
        <v>31</v>
      </c>
      <c r="L5" s="25">
        <v>1</v>
      </c>
      <c r="M5" s="25">
        <v>0</v>
      </c>
      <c r="N5" s="30">
        <v>26750</v>
      </c>
      <c r="O5" s="87">
        <v>0</v>
      </c>
      <c r="P5" s="59">
        <v>0</v>
      </c>
      <c r="Q5" s="25">
        <f>F5+(I5-G5)*$V$19+(J5-H5)*$V$20</f>
        <v>20193903.091258727</v>
      </c>
      <c r="R5" s="65">
        <f t="shared" si="3"/>
        <v>20170695.345933404</v>
      </c>
      <c r="S5" s="25">
        <f t="shared" si="4"/>
        <v>-367608.01406662539</v>
      </c>
      <c r="T5" s="38">
        <f t="shared" si="5"/>
        <v>1.7878453202372677E-2</v>
      </c>
      <c r="AG5"/>
      <c r="AH5" s="39"/>
      <c r="AI5" s="39"/>
      <c r="AJ5" s="56"/>
      <c r="AK5" s="56"/>
      <c r="AL5" s="56"/>
      <c r="AM5" s="75"/>
      <c r="AN5" s="79"/>
      <c r="AO5" s="56"/>
      <c r="AP5" s="75"/>
      <c r="AQ5" s="75"/>
      <c r="AR5" s="49"/>
      <c r="AS5" s="50"/>
      <c r="AT5" s="5"/>
    </row>
    <row r="6" spans="1:47" ht="12.75" customHeight="1">
      <c r="A6" s="2">
        <v>40634</v>
      </c>
      <c r="B6">
        <f t="shared" si="1"/>
        <v>2011</v>
      </c>
      <c r="C6">
        <f t="shared" si="2"/>
        <v>4</v>
      </c>
      <c r="D6" s="69">
        <v>18173296.59999999</v>
      </c>
      <c r="E6" s="69">
        <v>23207.745325324893</v>
      </c>
      <c r="F6" s="69">
        <v>18196504.345325314</v>
      </c>
      <c r="G6" s="63">
        <v>272.29999999999995</v>
      </c>
      <c r="H6" s="63">
        <v>0</v>
      </c>
      <c r="I6" s="66">
        <f t="shared" si="0"/>
        <v>285.02368421052643</v>
      </c>
      <c r="J6" s="66">
        <f t="shared" si="0"/>
        <v>0</v>
      </c>
      <c r="K6" s="25">
        <v>30</v>
      </c>
      <c r="L6" s="25">
        <v>1</v>
      </c>
      <c r="M6" s="25">
        <v>0</v>
      </c>
      <c r="N6" s="30">
        <v>26846</v>
      </c>
      <c r="O6" s="87">
        <v>0</v>
      </c>
      <c r="P6" s="59">
        <v>0</v>
      </c>
      <c r="Q6" s="25">
        <f t="shared" ref="Q6:Q69" si="6">F6+(I6-G6)*$V$19+(J6-H6)*$V$20</f>
        <v>18293702.447736204</v>
      </c>
      <c r="R6" s="65">
        <f t="shared" si="3"/>
        <v>18270494.70241088</v>
      </c>
      <c r="S6" s="25">
        <f t="shared" si="4"/>
        <v>97198.102410890162</v>
      </c>
      <c r="T6" s="38">
        <f t="shared" si="5"/>
        <v>5.3415810293178856E-3</v>
      </c>
      <c r="AG6"/>
      <c r="AI6" s="56"/>
      <c r="AJ6" s="51"/>
      <c r="AL6" s="29"/>
      <c r="AN6" s="80"/>
      <c r="AO6" s="80"/>
      <c r="AP6" s="5"/>
      <c r="AQ6" s="5"/>
      <c r="AR6" s="5"/>
      <c r="AS6" s="5"/>
      <c r="AT6" s="5"/>
      <c r="AU6" s="22"/>
    </row>
    <row r="7" spans="1:47">
      <c r="A7" s="2">
        <v>40664</v>
      </c>
      <c r="B7">
        <f t="shared" si="1"/>
        <v>2011</v>
      </c>
      <c r="C7">
        <f t="shared" si="2"/>
        <v>5</v>
      </c>
      <c r="D7" s="69">
        <v>19219228.860000029</v>
      </c>
      <c r="E7" s="69">
        <v>23207.745325324893</v>
      </c>
      <c r="F7" s="69">
        <v>19242436.605325352</v>
      </c>
      <c r="G7" s="63">
        <v>87.4</v>
      </c>
      <c r="H7" s="63">
        <v>28.3</v>
      </c>
      <c r="I7" s="66">
        <f t="shared" si="0"/>
        <v>92.127894736842109</v>
      </c>
      <c r="J7" s="66">
        <f t="shared" si="0"/>
        <v>50.712631578947821</v>
      </c>
      <c r="K7" s="25">
        <v>31</v>
      </c>
      <c r="L7" s="25">
        <v>1</v>
      </c>
      <c r="M7" s="25">
        <v>0</v>
      </c>
      <c r="N7" s="30">
        <v>26969</v>
      </c>
      <c r="O7" s="87">
        <v>0</v>
      </c>
      <c r="P7" s="59">
        <v>0</v>
      </c>
      <c r="Q7" s="25">
        <f t="shared" si="6"/>
        <v>20446933.89571391</v>
      </c>
      <c r="R7" s="65">
        <f t="shared" si="3"/>
        <v>20423726.150388587</v>
      </c>
      <c r="S7" s="25">
        <f t="shared" si="4"/>
        <v>1204497.2903885581</v>
      </c>
      <c r="T7" s="38">
        <f t="shared" si="5"/>
        <v>6.2595881960978525E-2</v>
      </c>
      <c r="AG7"/>
      <c r="AI7" s="56"/>
      <c r="AJ7" s="51"/>
      <c r="AK7" s="29"/>
      <c r="AL7" s="29"/>
      <c r="AN7" s="80"/>
      <c r="AO7" s="80"/>
      <c r="AP7" s="5"/>
      <c r="AQ7" s="5"/>
      <c r="AR7" s="5"/>
      <c r="AS7" s="5"/>
      <c r="AT7" s="5"/>
      <c r="AU7" s="22"/>
    </row>
    <row r="8" spans="1:47">
      <c r="A8" s="2">
        <v>40695</v>
      </c>
      <c r="B8">
        <f t="shared" si="1"/>
        <v>2011</v>
      </c>
      <c r="C8">
        <f t="shared" si="2"/>
        <v>6</v>
      </c>
      <c r="D8" s="69">
        <v>23432000.140000012</v>
      </c>
      <c r="E8" s="69">
        <v>23207.745325324893</v>
      </c>
      <c r="F8" s="69">
        <v>23455207.885325335</v>
      </c>
      <c r="G8" s="63">
        <v>4.7999999999999989</v>
      </c>
      <c r="H8" s="63">
        <v>97.999999999999986</v>
      </c>
      <c r="I8" s="66">
        <f t="shared" si="0"/>
        <v>6.5805263157894842</v>
      </c>
      <c r="J8" s="66">
        <f t="shared" si="0"/>
        <v>122.87210526315789</v>
      </c>
      <c r="K8" s="25">
        <v>30</v>
      </c>
      <c r="L8" s="25">
        <v>0</v>
      </c>
      <c r="M8" s="25">
        <v>0</v>
      </c>
      <c r="N8" s="30">
        <v>27068</v>
      </c>
      <c r="O8" s="87">
        <v>0</v>
      </c>
      <c r="P8" s="59">
        <v>0</v>
      </c>
      <c r="Q8" s="25">
        <f t="shared" si="6"/>
        <v>24765403.222961459</v>
      </c>
      <c r="R8" s="65">
        <f t="shared" si="3"/>
        <v>24742195.477636136</v>
      </c>
      <c r="S8" s="25">
        <f t="shared" si="4"/>
        <v>1310195.3376361243</v>
      </c>
      <c r="T8" s="38">
        <f t="shared" si="5"/>
        <v>5.5859463878631548E-2</v>
      </c>
      <c r="AG8"/>
      <c r="AI8" s="56"/>
      <c r="AJ8" s="51"/>
      <c r="AK8" s="29"/>
      <c r="AL8" s="29"/>
      <c r="AN8" s="80"/>
      <c r="AO8" s="80"/>
      <c r="AP8" s="5"/>
      <c r="AQ8" s="5"/>
      <c r="AR8" s="5"/>
      <c r="AS8" s="5"/>
      <c r="AT8" s="5"/>
      <c r="AU8" s="22"/>
    </row>
    <row r="9" spans="1:47">
      <c r="A9" s="2">
        <v>40725</v>
      </c>
      <c r="B9">
        <f t="shared" si="1"/>
        <v>2011</v>
      </c>
      <c r="C9">
        <f t="shared" si="2"/>
        <v>7</v>
      </c>
      <c r="D9" s="69">
        <v>29858048.27999996</v>
      </c>
      <c r="E9" s="69">
        <v>23207.745325324893</v>
      </c>
      <c r="F9" s="69">
        <v>29881256.025325283</v>
      </c>
      <c r="G9" s="63">
        <v>0</v>
      </c>
      <c r="H9" s="63">
        <v>260.30000000000007</v>
      </c>
      <c r="I9" s="66">
        <f t="shared" si="0"/>
        <v>0</v>
      </c>
      <c r="J9" s="66">
        <f t="shared" si="0"/>
        <v>211.7568421052631</v>
      </c>
      <c r="K9" s="25">
        <v>31</v>
      </c>
      <c r="L9" s="25">
        <v>0</v>
      </c>
      <c r="M9" s="25">
        <v>0</v>
      </c>
      <c r="N9" s="30">
        <v>27119</v>
      </c>
      <c r="O9" s="87">
        <v>0</v>
      </c>
      <c r="P9" s="59">
        <v>0</v>
      </c>
      <c r="Q9" s="25">
        <f t="shared" si="6"/>
        <v>27350680.151487265</v>
      </c>
      <c r="R9" s="65">
        <f t="shared" si="3"/>
        <v>27327472.406161942</v>
      </c>
      <c r="S9" s="25">
        <f t="shared" si="4"/>
        <v>-2530575.8738380186</v>
      </c>
      <c r="T9" s="38">
        <f t="shared" si="5"/>
        <v>8.4687734400899273E-2</v>
      </c>
      <c r="AG9"/>
      <c r="AI9" s="56"/>
      <c r="AJ9" s="51"/>
      <c r="AK9" s="29"/>
      <c r="AL9" s="29"/>
      <c r="AN9" s="80"/>
      <c r="AO9" s="80"/>
      <c r="AP9" s="5"/>
      <c r="AQ9" s="5"/>
      <c r="AR9" s="5"/>
      <c r="AS9" s="5"/>
      <c r="AT9" s="5"/>
      <c r="AU9" s="22"/>
    </row>
    <row r="10" spans="1:47">
      <c r="A10" s="2">
        <v>40756</v>
      </c>
      <c r="B10">
        <f t="shared" si="1"/>
        <v>2011</v>
      </c>
      <c r="C10">
        <f t="shared" si="2"/>
        <v>8</v>
      </c>
      <c r="D10" s="69">
        <v>28097294.710000008</v>
      </c>
      <c r="E10" s="69">
        <v>23207.745325324893</v>
      </c>
      <c r="F10" s="69">
        <v>28120502.455325332</v>
      </c>
      <c r="G10" s="63">
        <v>0</v>
      </c>
      <c r="H10" s="63">
        <v>184.2</v>
      </c>
      <c r="I10" s="66">
        <f t="shared" si="0"/>
        <v>0.34105263157894772</v>
      </c>
      <c r="J10" s="66">
        <f t="shared" si="0"/>
        <v>191.39947368421053</v>
      </c>
      <c r="K10" s="25">
        <v>31</v>
      </c>
      <c r="L10" s="25">
        <v>0</v>
      </c>
      <c r="M10" s="25">
        <v>0</v>
      </c>
      <c r="N10" s="30">
        <v>27177</v>
      </c>
      <c r="O10" s="87">
        <v>0</v>
      </c>
      <c r="P10" s="59">
        <v>0</v>
      </c>
      <c r="Q10" s="25">
        <f t="shared" si="6"/>
        <v>28498419.492249336</v>
      </c>
      <c r="R10" s="65">
        <f t="shared" si="3"/>
        <v>28475211.746924013</v>
      </c>
      <c r="S10" s="25">
        <f t="shared" si="4"/>
        <v>377917.03692400455</v>
      </c>
      <c r="T10" s="38">
        <f t="shared" si="5"/>
        <v>1.3439199300382215E-2</v>
      </c>
      <c r="AG10"/>
      <c r="AI10" s="56"/>
      <c r="AJ10" s="51"/>
      <c r="AK10" s="29"/>
      <c r="AL10" s="29"/>
      <c r="AN10" s="80"/>
      <c r="AO10" s="80"/>
      <c r="AP10" s="5"/>
      <c r="AQ10" s="5"/>
      <c r="AR10" s="5"/>
      <c r="AS10" s="5"/>
      <c r="AT10" s="5"/>
      <c r="AU10" s="22"/>
    </row>
    <row r="11" spans="1:47">
      <c r="A11" s="2">
        <v>40787</v>
      </c>
      <c r="B11">
        <f t="shared" si="1"/>
        <v>2011</v>
      </c>
      <c r="C11">
        <f t="shared" si="2"/>
        <v>9</v>
      </c>
      <c r="D11" s="69">
        <v>19896374.790000003</v>
      </c>
      <c r="E11" s="69">
        <v>23207.745325324893</v>
      </c>
      <c r="F11" s="69">
        <v>19919582.535325326</v>
      </c>
      <c r="G11" s="63">
        <v>22.400000000000006</v>
      </c>
      <c r="H11" s="63">
        <v>73.7</v>
      </c>
      <c r="I11" s="66">
        <f t="shared" si="0"/>
        <v>26.567368421052606</v>
      </c>
      <c r="J11" s="66">
        <f t="shared" si="0"/>
        <v>77.107368421052627</v>
      </c>
      <c r="K11" s="25">
        <v>30</v>
      </c>
      <c r="L11" s="25">
        <v>1</v>
      </c>
      <c r="M11" s="25">
        <v>1</v>
      </c>
      <c r="N11" s="30">
        <v>27326</v>
      </c>
      <c r="O11" s="87">
        <v>0</v>
      </c>
      <c r="P11" s="59">
        <v>0</v>
      </c>
      <c r="Q11" s="25">
        <f t="shared" si="6"/>
        <v>20129045.271568492</v>
      </c>
      <c r="R11" s="65">
        <f t="shared" si="3"/>
        <v>20105837.526243169</v>
      </c>
      <c r="S11" s="25">
        <f t="shared" si="4"/>
        <v>209462.73624316603</v>
      </c>
      <c r="T11" s="38">
        <f t="shared" si="5"/>
        <v>1.0515417974834837E-2</v>
      </c>
      <c r="AG11"/>
      <c r="AI11" s="56"/>
      <c r="AJ11" s="51"/>
      <c r="AK11" s="29"/>
      <c r="AL11" s="29"/>
      <c r="AN11" s="80"/>
      <c r="AO11" s="80"/>
      <c r="AP11" s="5"/>
      <c r="AQ11" s="5"/>
      <c r="AR11" s="5"/>
      <c r="AS11" s="5"/>
      <c r="AT11" s="5"/>
      <c r="AU11" s="22"/>
    </row>
    <row r="12" spans="1:47" ht="13.5" customHeight="1">
      <c r="A12" s="2">
        <v>40817</v>
      </c>
      <c r="B12">
        <f t="shared" si="1"/>
        <v>2011</v>
      </c>
      <c r="C12">
        <f t="shared" si="2"/>
        <v>10</v>
      </c>
      <c r="D12" s="69">
        <v>18244566.349999983</v>
      </c>
      <c r="E12" s="69">
        <v>23207.745325324893</v>
      </c>
      <c r="F12" s="69">
        <v>18267774.095325306</v>
      </c>
      <c r="G12" s="63">
        <v>180.70000000000002</v>
      </c>
      <c r="H12" s="63">
        <v>9.6999999999999957</v>
      </c>
      <c r="I12" s="66">
        <f t="shared" si="0"/>
        <v>154.52315789473778</v>
      </c>
      <c r="J12" s="66">
        <f t="shared" si="0"/>
        <v>10.628421052631595</v>
      </c>
      <c r="K12" s="25">
        <v>31</v>
      </c>
      <c r="L12" s="25">
        <v>1</v>
      </c>
      <c r="M12" s="25">
        <v>0</v>
      </c>
      <c r="N12" s="30">
        <v>27440</v>
      </c>
      <c r="O12" s="87">
        <v>0</v>
      </c>
      <c r="P12" s="59">
        <v>0</v>
      </c>
      <c r="Q12" s="25">
        <f t="shared" si="6"/>
        <v>18116204.325441364</v>
      </c>
      <c r="R12" s="65">
        <f t="shared" si="3"/>
        <v>18092996.580116041</v>
      </c>
      <c r="S12" s="25">
        <f t="shared" si="4"/>
        <v>-151569.76988394186</v>
      </c>
      <c r="T12" s="38">
        <f t="shared" si="5"/>
        <v>8.2971121217624601E-3</v>
      </c>
      <c r="AB12" s="22" t="s">
        <v>100</v>
      </c>
      <c r="AG12"/>
      <c r="AI12" s="56"/>
      <c r="AJ12" s="51"/>
      <c r="AK12" s="29"/>
      <c r="AL12" s="29"/>
      <c r="AN12" s="80"/>
      <c r="AO12" s="80"/>
      <c r="AP12" s="5"/>
      <c r="AQ12" s="5"/>
      <c r="AR12" s="5"/>
      <c r="AS12" s="5"/>
      <c r="AT12" s="5"/>
      <c r="AU12" s="22"/>
    </row>
    <row r="13" spans="1:47">
      <c r="A13" s="2">
        <v>40848</v>
      </c>
      <c r="B13">
        <f t="shared" si="1"/>
        <v>2011</v>
      </c>
      <c r="C13">
        <f t="shared" si="2"/>
        <v>11</v>
      </c>
      <c r="D13" s="69">
        <v>20183725.750000019</v>
      </c>
      <c r="E13" s="69">
        <v>23207.745325324893</v>
      </c>
      <c r="F13" s="69">
        <v>20206933.495325342</v>
      </c>
      <c r="G13" s="63">
        <v>281.89999999999998</v>
      </c>
      <c r="H13" s="63">
        <v>0</v>
      </c>
      <c r="I13" s="66">
        <f t="shared" si="0"/>
        <v>363.9931578947369</v>
      </c>
      <c r="J13" s="66">
        <f t="shared" si="0"/>
        <v>1.8421052631579116E-2</v>
      </c>
      <c r="K13" s="25">
        <v>30</v>
      </c>
      <c r="L13" s="25">
        <v>1</v>
      </c>
      <c r="M13" s="25">
        <v>0</v>
      </c>
      <c r="N13" s="30">
        <v>27703</v>
      </c>
      <c r="O13" s="87">
        <v>0</v>
      </c>
      <c r="P13" s="59">
        <v>0</v>
      </c>
      <c r="Q13" s="25">
        <f t="shared" si="6"/>
        <v>20835015.547482748</v>
      </c>
      <c r="R13" s="65">
        <f t="shared" si="3"/>
        <v>20811807.802157424</v>
      </c>
      <c r="S13" s="25">
        <f t="shared" si="4"/>
        <v>628082.05215740576</v>
      </c>
      <c r="T13" s="38">
        <f t="shared" si="5"/>
        <v>3.1082502068050348E-2</v>
      </c>
      <c r="U13" t="s">
        <v>98</v>
      </c>
      <c r="Y13" s="64"/>
      <c r="AA13" t="s">
        <v>68</v>
      </c>
      <c r="AE13" s="64"/>
      <c r="AG13"/>
      <c r="AI13" s="56"/>
      <c r="AJ13" s="51"/>
      <c r="AK13" s="29"/>
      <c r="AL13" s="29"/>
      <c r="AN13" s="80"/>
      <c r="AO13" s="80"/>
      <c r="AP13" s="5"/>
      <c r="AQ13" s="5"/>
      <c r="AR13" s="5"/>
      <c r="AS13" s="5"/>
      <c r="AT13" s="5"/>
      <c r="AU13" s="22"/>
    </row>
    <row r="14" spans="1:47" ht="13.5" customHeight="1">
      <c r="A14" s="2">
        <v>40878</v>
      </c>
      <c r="B14">
        <f t="shared" si="1"/>
        <v>2011</v>
      </c>
      <c r="C14">
        <f t="shared" si="2"/>
        <v>12</v>
      </c>
      <c r="D14" s="69">
        <v>25085188.549999982</v>
      </c>
      <c r="E14" s="69">
        <v>23207.745325324893</v>
      </c>
      <c r="F14" s="69">
        <v>25108396.295325305</v>
      </c>
      <c r="G14" s="63">
        <v>472.00000000000006</v>
      </c>
      <c r="H14" s="63">
        <v>0</v>
      </c>
      <c r="I14" s="66">
        <f t="shared" si="0"/>
        <v>499.7842105263162</v>
      </c>
      <c r="J14" s="66">
        <f t="shared" si="0"/>
        <v>0</v>
      </c>
      <c r="K14" s="25">
        <v>31</v>
      </c>
      <c r="L14" s="25">
        <v>0</v>
      </c>
      <c r="M14" s="25">
        <v>0</v>
      </c>
      <c r="N14" s="30">
        <v>27826</v>
      </c>
      <c r="O14" s="87">
        <v>0</v>
      </c>
      <c r="P14" s="59">
        <v>0</v>
      </c>
      <c r="Q14" s="25">
        <f t="shared" si="6"/>
        <v>25320643.982037649</v>
      </c>
      <c r="R14" s="65">
        <f t="shared" si="3"/>
        <v>25297436.236712325</v>
      </c>
      <c r="S14" s="25">
        <f t="shared" si="4"/>
        <v>212247.68671234325</v>
      </c>
      <c r="T14" s="38">
        <f t="shared" si="5"/>
        <v>8.4532554057169963E-3</v>
      </c>
      <c r="U14" t="s">
        <v>69</v>
      </c>
      <c r="AA14" t="s">
        <v>69</v>
      </c>
      <c r="AG14"/>
      <c r="AI14" s="56"/>
      <c r="AJ14" s="51"/>
      <c r="AK14" s="29"/>
      <c r="AL14" s="29"/>
      <c r="AN14" s="80"/>
      <c r="AO14" s="80"/>
      <c r="AP14" s="5"/>
      <c r="AQ14" s="5"/>
      <c r="AR14" s="5"/>
      <c r="AS14" s="5"/>
      <c r="AT14" s="5"/>
      <c r="AU14" s="22"/>
    </row>
    <row r="15" spans="1:47">
      <c r="A15" s="2">
        <v>40909</v>
      </c>
      <c r="B15">
        <f t="shared" si="1"/>
        <v>2012</v>
      </c>
      <c r="C15">
        <f t="shared" si="2"/>
        <v>1</v>
      </c>
      <c r="D15" s="69">
        <v>22605358.370000012</v>
      </c>
      <c r="E15" s="69">
        <v>60152.639777244323</v>
      </c>
      <c r="F15" s="69">
        <v>22665511.009777255</v>
      </c>
      <c r="G15" s="63">
        <v>549.1</v>
      </c>
      <c r="H15" s="63">
        <v>0</v>
      </c>
      <c r="I15" s="66">
        <f t="shared" si="0"/>
        <v>619.82052631578927</v>
      </c>
      <c r="J15" s="66">
        <f t="shared" si="0"/>
        <v>0</v>
      </c>
      <c r="K15" s="25">
        <v>31</v>
      </c>
      <c r="L15" s="25">
        <v>0</v>
      </c>
      <c r="M15" s="25">
        <v>0</v>
      </c>
      <c r="N15" s="30">
        <v>27984</v>
      </c>
      <c r="O15" s="87">
        <v>0</v>
      </c>
      <c r="P15" s="59">
        <v>0</v>
      </c>
      <c r="Q15" s="25">
        <f t="shared" si="6"/>
        <v>23205755.552604504</v>
      </c>
      <c r="R15" s="65">
        <f t="shared" si="3"/>
        <v>23145602.912827261</v>
      </c>
      <c r="S15" s="25">
        <f t="shared" si="4"/>
        <v>540244.54282724857</v>
      </c>
      <c r="T15" s="38">
        <f t="shared" si="5"/>
        <v>2.3835533317303214E-2</v>
      </c>
      <c r="U15" t="s">
        <v>99</v>
      </c>
      <c r="AA15" t="s">
        <v>70</v>
      </c>
      <c r="AG15"/>
      <c r="AI15" s="56"/>
      <c r="AJ15" s="51"/>
      <c r="AK15" s="29"/>
      <c r="AL15" s="29"/>
      <c r="AN15" s="80"/>
      <c r="AO15" s="80"/>
      <c r="AP15" s="5"/>
      <c r="AQ15" s="5"/>
      <c r="AR15" s="5"/>
      <c r="AS15" s="5"/>
      <c r="AT15" s="5"/>
      <c r="AU15" s="22"/>
    </row>
    <row r="16" spans="1:47">
      <c r="A16" s="2">
        <v>40940</v>
      </c>
      <c r="B16">
        <f t="shared" si="1"/>
        <v>2012</v>
      </c>
      <c r="C16">
        <f t="shared" si="2"/>
        <v>2</v>
      </c>
      <c r="D16" s="69">
        <v>21671478.420000002</v>
      </c>
      <c r="E16" s="69">
        <v>60152.639777244323</v>
      </c>
      <c r="F16" s="69">
        <v>21731631.059777245</v>
      </c>
      <c r="G16" s="63">
        <v>473.70000000000005</v>
      </c>
      <c r="H16" s="63">
        <v>0</v>
      </c>
      <c r="I16" s="66">
        <f t="shared" si="0"/>
        <v>570.53578947368419</v>
      </c>
      <c r="J16" s="66">
        <f t="shared" si="0"/>
        <v>0</v>
      </c>
      <c r="K16" s="25">
        <v>29</v>
      </c>
      <c r="L16" s="25">
        <v>0</v>
      </c>
      <c r="M16" s="25">
        <v>0</v>
      </c>
      <c r="N16" s="30">
        <v>28152</v>
      </c>
      <c r="O16" s="87">
        <v>0</v>
      </c>
      <c r="P16" s="59">
        <v>0</v>
      </c>
      <c r="Q16" s="25">
        <f t="shared" si="6"/>
        <v>22471373.953939591</v>
      </c>
      <c r="R16" s="65">
        <f t="shared" si="3"/>
        <v>22411221.314162347</v>
      </c>
      <c r="S16" s="25">
        <f t="shared" si="4"/>
        <v>739742.89416234568</v>
      </c>
      <c r="T16" s="38">
        <f t="shared" si="5"/>
        <v>3.4039915923822439E-2</v>
      </c>
      <c r="AG16"/>
      <c r="AI16" s="56"/>
      <c r="AJ16" s="51"/>
      <c r="AK16" s="29"/>
      <c r="AL16" s="29"/>
      <c r="AN16" s="80"/>
      <c r="AO16" s="80"/>
      <c r="AP16" s="5"/>
      <c r="AQ16" s="5"/>
      <c r="AR16" s="5"/>
      <c r="AS16" s="5"/>
      <c r="AT16" s="27"/>
      <c r="AU16" s="22"/>
    </row>
    <row r="17" spans="1:48">
      <c r="A17" s="2">
        <v>40969</v>
      </c>
      <c r="B17">
        <f t="shared" si="1"/>
        <v>2012</v>
      </c>
      <c r="C17">
        <f t="shared" si="2"/>
        <v>3</v>
      </c>
      <c r="D17" s="69">
        <v>19949861.740000002</v>
      </c>
      <c r="E17" s="69">
        <v>60152.639777244323</v>
      </c>
      <c r="F17" s="69">
        <v>20010014.379777245</v>
      </c>
      <c r="G17" s="63">
        <v>290.2</v>
      </c>
      <c r="H17" s="63">
        <v>3</v>
      </c>
      <c r="I17" s="66">
        <f t="shared" si="0"/>
        <v>461.49315789473712</v>
      </c>
      <c r="J17" s="66">
        <f t="shared" si="0"/>
        <v>0.17368421052631611</v>
      </c>
      <c r="K17" s="25">
        <v>31</v>
      </c>
      <c r="L17" s="25">
        <v>1</v>
      </c>
      <c r="M17" s="25">
        <v>0</v>
      </c>
      <c r="N17" s="30">
        <v>28320</v>
      </c>
      <c r="O17" s="87">
        <v>0</v>
      </c>
      <c r="P17" s="59">
        <v>0</v>
      </c>
      <c r="Q17" s="25">
        <f t="shared" si="6"/>
        <v>21171211.037519462</v>
      </c>
      <c r="R17" s="65">
        <f t="shared" si="3"/>
        <v>21111058.397742219</v>
      </c>
      <c r="S17" s="25">
        <f t="shared" si="4"/>
        <v>1161196.6577422172</v>
      </c>
      <c r="T17" s="38">
        <f t="shared" si="5"/>
        <v>5.803077577574154E-2</v>
      </c>
      <c r="V17" t="s">
        <v>8</v>
      </c>
      <c r="W17" t="s">
        <v>9</v>
      </c>
      <c r="X17" t="s">
        <v>10</v>
      </c>
      <c r="Y17" t="s">
        <v>11</v>
      </c>
      <c r="AB17" t="s">
        <v>8</v>
      </c>
      <c r="AC17" t="s">
        <v>9</v>
      </c>
      <c r="AD17" t="s">
        <v>10</v>
      </c>
      <c r="AE17" t="s">
        <v>11</v>
      </c>
      <c r="AG17"/>
      <c r="AI17" s="56"/>
      <c r="AJ17" s="51"/>
      <c r="AK17" s="29"/>
      <c r="AL17" s="29"/>
      <c r="AN17" s="80"/>
      <c r="AO17" s="80"/>
      <c r="AP17" s="5"/>
      <c r="AQ17" s="5"/>
      <c r="AR17" s="5"/>
      <c r="AS17" s="5"/>
      <c r="AT17" s="5"/>
      <c r="AU17" s="22"/>
    </row>
    <row r="18" spans="1:48">
      <c r="A18" s="2">
        <v>41000</v>
      </c>
      <c r="B18">
        <f t="shared" si="1"/>
        <v>2012</v>
      </c>
      <c r="C18">
        <f t="shared" si="2"/>
        <v>4</v>
      </c>
      <c r="D18" s="69">
        <v>18851854.700000014</v>
      </c>
      <c r="E18" s="69">
        <v>60152.639777244323</v>
      </c>
      <c r="F18" s="69">
        <v>18912007.339777257</v>
      </c>
      <c r="G18" s="63">
        <v>263.10000000000002</v>
      </c>
      <c r="H18" s="63">
        <v>1.3999999999999986</v>
      </c>
      <c r="I18" s="66">
        <f t="shared" si="0"/>
        <v>285.02368421052643</v>
      </c>
      <c r="J18" s="66">
        <f t="shared" si="0"/>
        <v>0</v>
      </c>
      <c r="K18" s="25">
        <v>30</v>
      </c>
      <c r="L18" s="25">
        <v>1</v>
      </c>
      <c r="M18" s="25">
        <v>0</v>
      </c>
      <c r="N18" s="30">
        <v>28570</v>
      </c>
      <c r="O18" s="87">
        <v>0</v>
      </c>
      <c r="P18" s="59">
        <v>0</v>
      </c>
      <c r="Q18" s="25">
        <f t="shared" si="6"/>
        <v>19006502.993453186</v>
      </c>
      <c r="R18" s="65">
        <f t="shared" si="3"/>
        <v>18946350.353675943</v>
      </c>
      <c r="S18" s="25">
        <f t="shared" si="4"/>
        <v>94495.653675928712</v>
      </c>
      <c r="T18" s="38">
        <f t="shared" si="5"/>
        <v>4.9965956536606156E-3</v>
      </c>
      <c r="U18" t="s">
        <v>12</v>
      </c>
      <c r="V18">
        <v>-24788260.2544889</v>
      </c>
      <c r="W18">
        <v>5058199.4520784104</v>
      </c>
      <c r="X18">
        <v>-4.9006094934242697</v>
      </c>
      <c r="Y18" s="64">
        <v>2.9008236781988299E-6</v>
      </c>
      <c r="AA18" t="s">
        <v>12</v>
      </c>
      <c r="AB18">
        <v>-18893263.306903001</v>
      </c>
      <c r="AC18">
        <v>5185235.7900725901</v>
      </c>
      <c r="AD18">
        <v>-3.6436652202152802</v>
      </c>
      <c r="AE18">
        <v>3.9476725714889698E-4</v>
      </c>
      <c r="AG18"/>
      <c r="AH18" s="39"/>
      <c r="AI18" s="51"/>
      <c r="AJ18" s="52"/>
      <c r="AK18" s="29"/>
      <c r="AN18" s="45"/>
      <c r="AO18" s="53"/>
      <c r="AP18" s="53"/>
      <c r="AQ18" s="53"/>
      <c r="AR18" s="5"/>
      <c r="AS18" s="5"/>
      <c r="AU18" s="22"/>
    </row>
    <row r="19" spans="1:48">
      <c r="A19" s="2">
        <v>41030</v>
      </c>
      <c r="B19">
        <f t="shared" si="1"/>
        <v>2012</v>
      </c>
      <c r="C19">
        <f t="shared" si="2"/>
        <v>5</v>
      </c>
      <c r="D19" s="69">
        <v>18991152.079999991</v>
      </c>
      <c r="E19" s="69">
        <v>60152.639777244323</v>
      </c>
      <c r="F19" s="69">
        <v>19051304.719777234</v>
      </c>
      <c r="G19" s="63">
        <v>46.199999999999989</v>
      </c>
      <c r="H19" s="63">
        <v>64.199999999999989</v>
      </c>
      <c r="I19" s="66">
        <f t="shared" ref="I19:J34" si="7">I31</f>
        <v>92.127894736842109</v>
      </c>
      <c r="J19" s="66">
        <f t="shared" si="7"/>
        <v>50.712631578947821</v>
      </c>
      <c r="K19" s="25">
        <v>31</v>
      </c>
      <c r="L19" s="25">
        <v>1</v>
      </c>
      <c r="M19" s="25">
        <v>0</v>
      </c>
      <c r="N19" s="30">
        <v>28755</v>
      </c>
      <c r="O19" s="87">
        <v>0</v>
      </c>
      <c r="P19" s="59">
        <v>0</v>
      </c>
      <c r="Q19" s="25">
        <f t="shared" si="6"/>
        <v>18699052.324040346</v>
      </c>
      <c r="R19" s="65">
        <f t="shared" si="3"/>
        <v>18638899.684263103</v>
      </c>
      <c r="S19" s="25">
        <f t="shared" si="4"/>
        <v>-352252.39573688805</v>
      </c>
      <c r="T19" s="38">
        <f t="shared" si="5"/>
        <v>1.8489673065342001E-2</v>
      </c>
      <c r="U19" t="s">
        <v>5</v>
      </c>
      <c r="V19">
        <v>7639.1476558713603</v>
      </c>
      <c r="W19">
        <v>1151.19006128611</v>
      </c>
      <c r="X19">
        <v>6.63587005549451</v>
      </c>
      <c r="Y19" s="64">
        <v>8.7872897838188896E-10</v>
      </c>
      <c r="AA19" t="s">
        <v>5</v>
      </c>
      <c r="AB19">
        <v>8735.5477451992792</v>
      </c>
      <c r="AC19">
        <v>955.16207542171696</v>
      </c>
      <c r="AD19">
        <v>9.1456182882286399</v>
      </c>
      <c r="AE19" s="64">
        <v>1.5513487993009601E-15</v>
      </c>
      <c r="AG19"/>
      <c r="AH19" s="56"/>
      <c r="AI19" s="51"/>
      <c r="AJ19" s="39"/>
      <c r="AK19" s="58"/>
      <c r="AL19" s="58"/>
      <c r="AM19" s="1"/>
      <c r="AP19" s="5"/>
      <c r="AQ19" s="5"/>
      <c r="AR19" s="5"/>
      <c r="AS19" s="5"/>
    </row>
    <row r="20" spans="1:48">
      <c r="A20" s="2">
        <v>41061</v>
      </c>
      <c r="B20">
        <f t="shared" si="1"/>
        <v>2012</v>
      </c>
      <c r="C20">
        <f t="shared" si="2"/>
        <v>6</v>
      </c>
      <c r="D20" s="69">
        <v>27898710.519999996</v>
      </c>
      <c r="E20" s="69">
        <v>60152.639777244323</v>
      </c>
      <c r="F20" s="69">
        <v>27958863.159777239</v>
      </c>
      <c r="G20" s="63">
        <v>9.6</v>
      </c>
      <c r="H20" s="63">
        <v>148</v>
      </c>
      <c r="I20" s="66">
        <f t="shared" si="7"/>
        <v>6.5805263157894842</v>
      </c>
      <c r="J20" s="66">
        <f t="shared" si="7"/>
        <v>122.87210526315789</v>
      </c>
      <c r="K20" s="25">
        <v>30</v>
      </c>
      <c r="L20" s="25">
        <v>0</v>
      </c>
      <c r="M20" s="25">
        <v>0</v>
      </c>
      <c r="N20" s="30">
        <v>28856</v>
      </c>
      <c r="O20" s="87">
        <v>0</v>
      </c>
      <c r="P20" s="59">
        <v>0</v>
      </c>
      <c r="Q20" s="25">
        <f t="shared" si="6"/>
        <v>26625868.904058851</v>
      </c>
      <c r="R20" s="65">
        <f t="shared" si="3"/>
        <v>26565716.264281608</v>
      </c>
      <c r="S20" s="25">
        <f t="shared" si="4"/>
        <v>-1332994.2557183877</v>
      </c>
      <c r="T20" s="38">
        <f t="shared" si="5"/>
        <v>4.7676983434579968E-2</v>
      </c>
      <c r="U20" t="s">
        <v>6</v>
      </c>
      <c r="V20">
        <v>52130.4336921266</v>
      </c>
      <c r="W20">
        <v>3729.7936280069698</v>
      </c>
      <c r="X20">
        <v>13.976760885824801</v>
      </c>
      <c r="Y20" s="64">
        <v>2.5894283903026099E-27</v>
      </c>
      <c r="AA20" t="s">
        <v>6</v>
      </c>
      <c r="AB20">
        <v>52933.346861410202</v>
      </c>
      <c r="AC20">
        <v>3453.72029547191</v>
      </c>
      <c r="AD20">
        <v>15.3264718427864</v>
      </c>
      <c r="AE20" s="64">
        <v>2.6212456298096899E-30</v>
      </c>
      <c r="AG20"/>
      <c r="AH20" s="56"/>
      <c r="AI20" s="81"/>
      <c r="AJ20" s="81"/>
      <c r="AK20" s="29"/>
      <c r="AM20" s="1"/>
      <c r="AP20" s="5"/>
      <c r="AQ20" s="5"/>
      <c r="AR20" s="5"/>
      <c r="AS20" s="5"/>
    </row>
    <row r="21" spans="1:48">
      <c r="A21" s="2">
        <v>41091</v>
      </c>
      <c r="B21">
        <f t="shared" si="1"/>
        <v>2012</v>
      </c>
      <c r="C21">
        <f t="shared" si="2"/>
        <v>7</v>
      </c>
      <c r="D21" s="69">
        <v>33515927.190000005</v>
      </c>
      <c r="E21" s="69">
        <v>60152.639777244323</v>
      </c>
      <c r="F21" s="69">
        <v>33576079.829777248</v>
      </c>
      <c r="G21" s="63">
        <v>0</v>
      </c>
      <c r="H21" s="63">
        <v>257.39999999999998</v>
      </c>
      <c r="I21" s="66">
        <f t="shared" si="7"/>
        <v>0</v>
      </c>
      <c r="J21" s="66">
        <f t="shared" si="7"/>
        <v>211.7568421052631</v>
      </c>
      <c r="K21" s="25">
        <v>31</v>
      </c>
      <c r="L21" s="25">
        <v>0</v>
      </c>
      <c r="M21" s="25">
        <v>0</v>
      </c>
      <c r="N21" s="30">
        <v>28963</v>
      </c>
      <c r="O21" s="87">
        <v>0</v>
      </c>
      <c r="P21" s="59">
        <v>0</v>
      </c>
      <c r="Q21" s="25">
        <f t="shared" si="6"/>
        <v>31196682.213646404</v>
      </c>
      <c r="R21" s="65">
        <f t="shared" si="3"/>
        <v>31136529.573869161</v>
      </c>
      <c r="S21" s="25">
        <f t="shared" si="4"/>
        <v>-2379397.6161308438</v>
      </c>
      <c r="T21" s="38">
        <f t="shared" si="5"/>
        <v>7.0865855340880315E-2</v>
      </c>
      <c r="U21" t="s">
        <v>1</v>
      </c>
      <c r="V21">
        <v>764629.53466513695</v>
      </c>
      <c r="W21">
        <v>156777.34876609399</v>
      </c>
      <c r="X21">
        <v>4.8771684218613496</v>
      </c>
      <c r="Y21" s="64">
        <v>3.20557898267182E-6</v>
      </c>
      <c r="AA21" t="s">
        <v>1</v>
      </c>
      <c r="AB21">
        <v>700140.39219496294</v>
      </c>
      <c r="AC21">
        <v>167154.58775368199</v>
      </c>
      <c r="AD21">
        <v>4.1885801736215802</v>
      </c>
      <c r="AE21" s="64">
        <v>5.3081721144805101E-5</v>
      </c>
      <c r="AG21"/>
      <c r="AH21" s="39"/>
      <c r="AI21" s="51"/>
      <c r="AJ21" s="39"/>
      <c r="AK21" s="29"/>
      <c r="AM21" s="1"/>
      <c r="AP21" s="5"/>
      <c r="AQ21" s="5"/>
      <c r="AR21" s="5"/>
      <c r="AS21" s="5"/>
    </row>
    <row r="22" spans="1:48">
      <c r="A22" s="2">
        <v>41122</v>
      </c>
      <c r="B22">
        <f t="shared" si="1"/>
        <v>2012</v>
      </c>
      <c r="C22">
        <f t="shared" si="2"/>
        <v>8</v>
      </c>
      <c r="D22" s="69">
        <v>29969286.820000008</v>
      </c>
      <c r="E22" s="69">
        <v>60152.639777244323</v>
      </c>
      <c r="F22" s="69">
        <v>30029439.459777251</v>
      </c>
      <c r="G22" s="63">
        <v>0</v>
      </c>
      <c r="H22" s="63">
        <v>172.1</v>
      </c>
      <c r="I22" s="66">
        <f t="shared" si="7"/>
        <v>0.34105263157894772</v>
      </c>
      <c r="J22" s="66">
        <f t="shared" si="7"/>
        <v>191.39947368421053</v>
      </c>
      <c r="K22" s="25">
        <v>31</v>
      </c>
      <c r="L22" s="25">
        <v>0</v>
      </c>
      <c r="M22" s="25">
        <v>0</v>
      </c>
      <c r="N22" s="30">
        <v>29039</v>
      </c>
      <c r="O22" s="87">
        <v>0</v>
      </c>
      <c r="P22" s="59">
        <v>0</v>
      </c>
      <c r="Q22" s="25">
        <f t="shared" si="6"/>
        <v>31038134.744375985</v>
      </c>
      <c r="R22" s="65">
        <f t="shared" si="3"/>
        <v>30977982.104598742</v>
      </c>
      <c r="S22" s="25">
        <f t="shared" si="4"/>
        <v>1008695.2845987342</v>
      </c>
      <c r="T22" s="38">
        <f t="shared" si="5"/>
        <v>3.3590213561922294E-2</v>
      </c>
      <c r="U22" t="s">
        <v>3</v>
      </c>
      <c r="V22">
        <v>-3437664.8279276802</v>
      </c>
      <c r="W22">
        <v>408371.93195958599</v>
      </c>
      <c r="X22">
        <v>-8.4179752791332607</v>
      </c>
      <c r="Y22" s="64">
        <v>7.54209114134145E-14</v>
      </c>
      <c r="AA22" t="s">
        <v>3</v>
      </c>
      <c r="AB22">
        <v>-2872240.8640193399</v>
      </c>
      <c r="AC22">
        <v>364282.109347158</v>
      </c>
      <c r="AD22">
        <v>-7.8846607898663397</v>
      </c>
      <c r="AE22" s="64">
        <v>1.44662653707938E-12</v>
      </c>
      <c r="AG22"/>
      <c r="AH22" s="39"/>
      <c r="AI22" s="51"/>
      <c r="AJ22" s="39"/>
      <c r="AK22" s="29"/>
      <c r="AM22" s="54"/>
      <c r="AN22" s="54"/>
      <c r="AO22" s="54"/>
      <c r="AP22" s="54"/>
      <c r="AQ22" s="54"/>
      <c r="AR22" s="54"/>
      <c r="AS22" s="5"/>
    </row>
    <row r="23" spans="1:48">
      <c r="A23" s="2">
        <v>41153</v>
      </c>
      <c r="B23">
        <f t="shared" si="1"/>
        <v>2012</v>
      </c>
      <c r="C23">
        <f t="shared" si="2"/>
        <v>9</v>
      </c>
      <c r="D23" s="69">
        <v>21178062.030000005</v>
      </c>
      <c r="E23" s="69">
        <v>60152.639777244323</v>
      </c>
      <c r="F23" s="69">
        <v>21238214.669777248</v>
      </c>
      <c r="G23" s="63">
        <v>48.300000000000011</v>
      </c>
      <c r="H23" s="63">
        <v>58.899999999999991</v>
      </c>
      <c r="I23" s="66">
        <f t="shared" si="7"/>
        <v>26.567368421052606</v>
      </c>
      <c r="J23" s="66">
        <f t="shared" si="7"/>
        <v>77.107368421052627</v>
      </c>
      <c r="K23" s="25">
        <v>30</v>
      </c>
      <c r="L23" s="25">
        <v>1</v>
      </c>
      <c r="M23" s="25">
        <v>1</v>
      </c>
      <c r="N23" s="30">
        <v>29133</v>
      </c>
      <c r="O23" s="87">
        <v>0</v>
      </c>
      <c r="P23" s="59">
        <v>0</v>
      </c>
      <c r="Q23" s="25">
        <f t="shared" si="6"/>
        <v>22021353.900376819</v>
      </c>
      <c r="R23" s="65">
        <f t="shared" si="3"/>
        <v>21961201.260599576</v>
      </c>
      <c r="S23" s="25">
        <f t="shared" si="4"/>
        <v>783139.23059957102</v>
      </c>
      <c r="T23" s="38">
        <f t="shared" si="5"/>
        <v>3.6874061345373188E-2</v>
      </c>
      <c r="U23" t="s">
        <v>2</v>
      </c>
      <c r="V23">
        <v>1681922.91412949</v>
      </c>
      <c r="W23">
        <v>526188.88632570801</v>
      </c>
      <c r="X23">
        <v>3.1964242458142502</v>
      </c>
      <c r="Y23" s="64">
        <v>1.7622228716866601E-3</v>
      </c>
      <c r="AA23" t="s">
        <v>2</v>
      </c>
      <c r="AB23">
        <v>1706351.3837903</v>
      </c>
      <c r="AC23">
        <v>497363.92251725</v>
      </c>
      <c r="AD23">
        <v>3.4307904263625302</v>
      </c>
      <c r="AE23" s="64">
        <v>8.1999039110360495E-4</v>
      </c>
      <c r="AG23"/>
      <c r="AH23" s="39"/>
      <c r="AI23" s="51"/>
      <c r="AJ23" s="39"/>
      <c r="AK23" s="29"/>
      <c r="AM23" s="54"/>
      <c r="AN23" s="54"/>
      <c r="AO23" s="54"/>
      <c r="AP23" s="54"/>
      <c r="AQ23" s="54"/>
      <c r="AR23" s="54"/>
      <c r="AS23" s="5"/>
    </row>
    <row r="24" spans="1:48">
      <c r="A24" s="2">
        <v>41183</v>
      </c>
      <c r="B24">
        <f t="shared" si="1"/>
        <v>2012</v>
      </c>
      <c r="C24">
        <f t="shared" si="2"/>
        <v>10</v>
      </c>
      <c r="D24" s="69">
        <v>19579886.000000007</v>
      </c>
      <c r="E24" s="69">
        <v>60152.639777244323</v>
      </c>
      <c r="F24" s="69">
        <v>19640038.639777251</v>
      </c>
      <c r="G24" s="63">
        <v>183.9</v>
      </c>
      <c r="H24" s="63">
        <v>4.5</v>
      </c>
      <c r="I24" s="66">
        <f t="shared" si="7"/>
        <v>154.52315789473778</v>
      </c>
      <c r="J24" s="66">
        <f t="shared" si="7"/>
        <v>10.628421052631595</v>
      </c>
      <c r="K24" s="25">
        <v>31</v>
      </c>
      <c r="L24" s="25">
        <v>1</v>
      </c>
      <c r="M24" s="25">
        <v>0</v>
      </c>
      <c r="N24" s="30">
        <v>29289</v>
      </c>
      <c r="O24" s="87">
        <v>0</v>
      </c>
      <c r="P24" s="59">
        <v>0</v>
      </c>
      <c r="Q24" s="25">
        <f t="shared" si="6"/>
        <v>19735101.852593575</v>
      </c>
      <c r="R24" s="65">
        <f t="shared" si="3"/>
        <v>19674949.212816332</v>
      </c>
      <c r="S24" s="25">
        <f t="shared" si="4"/>
        <v>95063.212816324085</v>
      </c>
      <c r="T24" s="38">
        <f t="shared" si="5"/>
        <v>4.840276262175534E-3</v>
      </c>
      <c r="U24" t="s">
        <v>0</v>
      </c>
      <c r="V24">
        <v>735.95751732585995</v>
      </c>
      <c r="W24">
        <v>58.182343389931702</v>
      </c>
      <c r="X24">
        <v>12.649155644927401</v>
      </c>
      <c r="Y24" s="64">
        <v>4.0207722631808099E-24</v>
      </c>
      <c r="AA24" t="s">
        <v>0</v>
      </c>
      <c r="AB24">
        <v>588.46728649549095</v>
      </c>
      <c r="AC24">
        <v>38.071823410709797</v>
      </c>
      <c r="AD24">
        <v>15.456766547460701</v>
      </c>
      <c r="AE24" s="64">
        <v>1.31711731993705E-30</v>
      </c>
      <c r="AG24"/>
      <c r="AH24" s="39"/>
      <c r="AI24" s="51"/>
      <c r="AJ24" s="39"/>
      <c r="AK24" s="29"/>
      <c r="AM24" s="78"/>
      <c r="AN24" s="78"/>
      <c r="AO24" s="78"/>
      <c r="AP24" s="49"/>
      <c r="AQ24" s="49"/>
      <c r="AR24" s="49"/>
      <c r="AS24" s="5"/>
    </row>
    <row r="25" spans="1:48">
      <c r="A25" s="2">
        <v>41214</v>
      </c>
      <c r="B25">
        <f t="shared" si="1"/>
        <v>2012</v>
      </c>
      <c r="C25">
        <f t="shared" si="2"/>
        <v>11</v>
      </c>
      <c r="D25" s="69">
        <v>21421956.510000002</v>
      </c>
      <c r="E25" s="69">
        <v>60152.639777244323</v>
      </c>
      <c r="F25" s="69">
        <v>21482109.149777245</v>
      </c>
      <c r="G25" s="63">
        <v>373.99999999999994</v>
      </c>
      <c r="H25" s="63">
        <v>0</v>
      </c>
      <c r="I25" s="66">
        <f t="shared" si="7"/>
        <v>363.9931578947369</v>
      </c>
      <c r="J25" s="66">
        <f t="shared" si="7"/>
        <v>1.8421052631579116E-2</v>
      </c>
      <c r="K25" s="25">
        <v>30</v>
      </c>
      <c r="L25" s="25">
        <v>1</v>
      </c>
      <c r="M25" s="25">
        <v>0</v>
      </c>
      <c r="N25" s="30">
        <v>29378</v>
      </c>
      <c r="O25" s="87">
        <v>0</v>
      </c>
      <c r="P25" s="59">
        <v>0</v>
      </c>
      <c r="Q25" s="25">
        <f t="shared" si="6"/>
        <v>21406625.702828899</v>
      </c>
      <c r="R25" s="65">
        <f t="shared" si="3"/>
        <v>21346473.063051656</v>
      </c>
      <c r="S25" s="25">
        <f t="shared" si="4"/>
        <v>-75483.446948345751</v>
      </c>
      <c r="T25" s="38">
        <f t="shared" si="5"/>
        <v>3.5137819299800206E-3</v>
      </c>
      <c r="AA25" t="s">
        <v>71</v>
      </c>
      <c r="AB25">
        <v>3576.4087557058901</v>
      </c>
      <c r="AC25">
        <v>1128.55821394485</v>
      </c>
      <c r="AD25">
        <v>3.1690068899544301</v>
      </c>
      <c r="AE25">
        <v>1.9302008059125699E-3</v>
      </c>
      <c r="AG25" s="2"/>
      <c r="AH25" s="39"/>
      <c r="AI25" s="51"/>
      <c r="AJ25" s="55"/>
      <c r="AK25" s="2"/>
      <c r="AL25" s="29"/>
      <c r="AO25" s="2"/>
      <c r="AP25" s="56"/>
      <c r="AQ25" s="56"/>
      <c r="AR25" s="56"/>
      <c r="AS25" s="2"/>
      <c r="AT25" s="56"/>
      <c r="AU25" s="56"/>
      <c r="AV25" s="5"/>
    </row>
    <row r="26" spans="1:48">
      <c r="A26" s="2">
        <v>41244</v>
      </c>
      <c r="B26">
        <f t="shared" si="1"/>
        <v>2012</v>
      </c>
      <c r="C26">
        <f t="shared" si="2"/>
        <v>12</v>
      </c>
      <c r="D26" s="69">
        <v>25587420.26999997</v>
      </c>
      <c r="E26" s="69">
        <v>60152.639777244323</v>
      </c>
      <c r="F26" s="69">
        <v>25647572.909777213</v>
      </c>
      <c r="G26" s="63">
        <v>471.50000000000006</v>
      </c>
      <c r="H26" s="63">
        <v>0</v>
      </c>
      <c r="I26" s="66">
        <f t="shared" si="7"/>
        <v>499.7842105263162</v>
      </c>
      <c r="J26" s="66">
        <f t="shared" si="7"/>
        <v>0</v>
      </c>
      <c r="K26" s="25">
        <v>31</v>
      </c>
      <c r="L26" s="25">
        <v>0</v>
      </c>
      <c r="M26" s="25">
        <v>0</v>
      </c>
      <c r="N26" s="30">
        <v>29614</v>
      </c>
      <c r="O26" s="87">
        <v>0</v>
      </c>
      <c r="P26" s="59">
        <v>0</v>
      </c>
      <c r="Q26" s="25">
        <f t="shared" si="6"/>
        <v>25863640.170317493</v>
      </c>
      <c r="R26" s="65">
        <f t="shared" si="3"/>
        <v>25803487.53054025</v>
      </c>
      <c r="S26" s="25">
        <f t="shared" si="4"/>
        <v>216067.26054028049</v>
      </c>
      <c r="T26" s="38">
        <f t="shared" si="5"/>
        <v>8.4244720270553412E-3</v>
      </c>
      <c r="U26" t="s">
        <v>13</v>
      </c>
      <c r="Y26" s="64"/>
      <c r="AA26" t="s">
        <v>72</v>
      </c>
      <c r="AB26">
        <v>24534.8158289153</v>
      </c>
      <c r="AC26">
        <v>3130.9815657572599</v>
      </c>
      <c r="AD26">
        <v>7.8361418978783597</v>
      </c>
      <c r="AE26" s="64">
        <v>1.8720205917012902E-12</v>
      </c>
      <c r="AG26" s="2"/>
      <c r="AH26" s="39"/>
      <c r="AI26" s="51"/>
      <c r="AJ26" s="55"/>
      <c r="AK26" s="2"/>
      <c r="AL26" s="29"/>
      <c r="AO26" s="2"/>
      <c r="AP26" s="56"/>
      <c r="AQ26" s="56"/>
      <c r="AR26" s="56"/>
      <c r="AS26" s="2"/>
      <c r="AT26" s="56"/>
      <c r="AU26" s="56"/>
      <c r="AV26" s="5"/>
    </row>
    <row r="27" spans="1:48">
      <c r="A27" s="2">
        <v>41275</v>
      </c>
      <c r="B27">
        <f t="shared" si="1"/>
        <v>2013</v>
      </c>
      <c r="C27">
        <f t="shared" si="2"/>
        <v>1</v>
      </c>
      <c r="D27" s="69">
        <v>24654099.019999988</v>
      </c>
      <c r="E27" s="69">
        <v>89162.051531255813</v>
      </c>
      <c r="F27" s="69">
        <v>24743261.071531244</v>
      </c>
      <c r="G27" s="63">
        <v>562.50000000000011</v>
      </c>
      <c r="H27" s="63">
        <v>0</v>
      </c>
      <c r="I27" s="66">
        <f t="shared" si="7"/>
        <v>619.82052631578927</v>
      </c>
      <c r="J27" s="66">
        <f t="shared" si="7"/>
        <v>0</v>
      </c>
      <c r="K27" s="25">
        <v>31</v>
      </c>
      <c r="L27" s="25">
        <v>0</v>
      </c>
      <c r="M27" s="25">
        <v>0</v>
      </c>
      <c r="N27" s="30">
        <v>29835</v>
      </c>
      <c r="O27" s="87">
        <v>0</v>
      </c>
      <c r="P27" s="59">
        <v>0</v>
      </c>
      <c r="Q27" s="25">
        <f t="shared" si="6"/>
        <v>25181141.035769816</v>
      </c>
      <c r="R27" s="65">
        <f t="shared" si="3"/>
        <v>25091978.984238561</v>
      </c>
      <c r="S27" s="25">
        <f t="shared" si="4"/>
        <v>437879.96423857287</v>
      </c>
      <c r="T27" s="38">
        <f t="shared" si="5"/>
        <v>1.7696938288477369E-2</v>
      </c>
      <c r="U27" t="s">
        <v>14</v>
      </c>
      <c r="V27">
        <v>26318647.798103601</v>
      </c>
      <c r="W27" t="s">
        <v>15</v>
      </c>
      <c r="X27">
        <v>5379028.7518450199</v>
      </c>
      <c r="AG27" s="2"/>
      <c r="AH27" s="39"/>
      <c r="AI27" s="82"/>
      <c r="AJ27" s="55"/>
      <c r="AK27" s="2"/>
      <c r="AL27" s="29"/>
      <c r="AO27" s="2"/>
      <c r="AP27" s="56"/>
      <c r="AQ27" s="5"/>
      <c r="AR27" s="5"/>
      <c r="AS27" s="2"/>
      <c r="AT27" s="56"/>
      <c r="AU27" s="5"/>
      <c r="AV27" s="5"/>
    </row>
    <row r="28" spans="1:48">
      <c r="A28" s="2">
        <v>41306</v>
      </c>
      <c r="B28">
        <f t="shared" si="1"/>
        <v>2013</v>
      </c>
      <c r="C28">
        <f t="shared" si="2"/>
        <v>2</v>
      </c>
      <c r="D28" s="69">
        <v>23135370.840000026</v>
      </c>
      <c r="E28" s="69">
        <v>89162.051531255813</v>
      </c>
      <c r="F28" s="69">
        <v>23224532.891531281</v>
      </c>
      <c r="G28" s="63">
        <v>575.5</v>
      </c>
      <c r="H28" s="63">
        <v>0</v>
      </c>
      <c r="I28" s="66">
        <f t="shared" si="7"/>
        <v>570.53578947368419</v>
      </c>
      <c r="J28" s="66">
        <f t="shared" si="7"/>
        <v>0</v>
      </c>
      <c r="K28" s="25">
        <v>28</v>
      </c>
      <c r="L28" s="25">
        <v>0</v>
      </c>
      <c r="M28" s="25">
        <v>0</v>
      </c>
      <c r="N28" s="30">
        <v>29989</v>
      </c>
      <c r="O28" s="87">
        <v>0</v>
      </c>
      <c r="P28" s="59">
        <v>0</v>
      </c>
      <c r="Q28" s="25">
        <f t="shared" si="6"/>
        <v>23186610.554325923</v>
      </c>
      <c r="R28" s="65">
        <f t="shared" si="3"/>
        <v>23097448.502794668</v>
      </c>
      <c r="S28" s="25">
        <f t="shared" si="4"/>
        <v>-37922.33720535785</v>
      </c>
      <c r="T28" s="38">
        <f t="shared" si="5"/>
        <v>1.6328568321469258E-3</v>
      </c>
      <c r="U28" t="s">
        <v>16</v>
      </c>
      <c r="V28">
        <v>308375275941528</v>
      </c>
      <c r="W28" t="s">
        <v>17</v>
      </c>
      <c r="X28">
        <v>1570669.35016006</v>
      </c>
      <c r="AA28" t="s">
        <v>13</v>
      </c>
      <c r="AG28" s="2"/>
      <c r="AH28" s="39"/>
      <c r="AI28" s="51"/>
      <c r="AJ28" s="55"/>
      <c r="AK28" s="2"/>
      <c r="AL28" s="29"/>
      <c r="AO28" s="2"/>
      <c r="AP28" s="56"/>
      <c r="AQ28" s="5"/>
      <c r="AR28" s="5"/>
      <c r="AS28" s="2"/>
      <c r="AT28" s="56"/>
      <c r="AU28" s="5"/>
      <c r="AV28" s="5"/>
    </row>
    <row r="29" spans="1:48">
      <c r="A29" s="2">
        <v>41334</v>
      </c>
      <c r="B29">
        <f t="shared" si="1"/>
        <v>2013</v>
      </c>
      <c r="C29">
        <f t="shared" si="2"/>
        <v>3</v>
      </c>
      <c r="D29" s="69">
        <v>22963588.829999994</v>
      </c>
      <c r="E29" s="69">
        <v>89162.051531255813</v>
      </c>
      <c r="F29" s="69">
        <v>23052750.88153125</v>
      </c>
      <c r="G29" s="63">
        <v>492.79999999999995</v>
      </c>
      <c r="H29" s="63">
        <v>0</v>
      </c>
      <c r="I29" s="66">
        <f t="shared" si="7"/>
        <v>461.49315789473712</v>
      </c>
      <c r="J29" s="66">
        <f t="shared" si="7"/>
        <v>0.17368421052631611</v>
      </c>
      <c r="K29" s="25">
        <v>31</v>
      </c>
      <c r="L29" s="25">
        <v>1</v>
      </c>
      <c r="M29" s="25">
        <v>0</v>
      </c>
      <c r="N29" s="30">
        <v>30236</v>
      </c>
      <c r="O29" s="87">
        <v>0</v>
      </c>
      <c r="P29" s="59">
        <v>0</v>
      </c>
      <c r="Q29" s="25">
        <f t="shared" si="6"/>
        <v>22822647.525270309</v>
      </c>
      <c r="R29" s="65">
        <f t="shared" si="3"/>
        <v>22733485.473739054</v>
      </c>
      <c r="S29" s="25">
        <f t="shared" si="4"/>
        <v>-230103.35626094043</v>
      </c>
      <c r="T29" s="38">
        <f t="shared" si="5"/>
        <v>9.9816007835007714E-3</v>
      </c>
      <c r="U29" t="s">
        <v>18</v>
      </c>
      <c r="V29">
        <v>0.91868261016751995</v>
      </c>
      <c r="W29" t="s">
        <v>19</v>
      </c>
      <c r="X29">
        <v>0.91477937545556098</v>
      </c>
      <c r="AA29" t="s">
        <v>14</v>
      </c>
      <c r="AB29">
        <v>26318647.798103601</v>
      </c>
      <c r="AC29" t="s">
        <v>15</v>
      </c>
      <c r="AD29">
        <v>5379028.7518450199</v>
      </c>
      <c r="AG29" s="2"/>
      <c r="AH29" s="39"/>
      <c r="AI29" s="51"/>
      <c r="AJ29" s="55"/>
      <c r="AK29" s="2"/>
      <c r="AL29" s="29"/>
      <c r="AO29" s="2"/>
      <c r="AP29" s="56"/>
      <c r="AQ29" s="5"/>
      <c r="AR29" s="5"/>
      <c r="AS29" s="2"/>
      <c r="AT29" s="56"/>
      <c r="AU29" s="5"/>
      <c r="AV29" s="5"/>
    </row>
    <row r="30" spans="1:48">
      <c r="A30" s="2">
        <v>41365</v>
      </c>
      <c r="B30">
        <f t="shared" si="1"/>
        <v>2013</v>
      </c>
      <c r="C30">
        <f t="shared" si="2"/>
        <v>4</v>
      </c>
      <c r="D30" s="69">
        <v>19590025.609999973</v>
      </c>
      <c r="E30" s="69">
        <v>89162.051531255813</v>
      </c>
      <c r="F30" s="69">
        <v>19679187.661531229</v>
      </c>
      <c r="G30" s="63">
        <v>298.60000000000002</v>
      </c>
      <c r="H30" s="63">
        <v>0</v>
      </c>
      <c r="I30" s="66">
        <f t="shared" si="7"/>
        <v>285.02368421052643</v>
      </c>
      <c r="J30" s="66">
        <f t="shared" si="7"/>
        <v>0</v>
      </c>
      <c r="K30" s="25">
        <v>30</v>
      </c>
      <c r="L30" s="25">
        <v>1</v>
      </c>
      <c r="M30" s="25">
        <v>0</v>
      </c>
      <c r="N30" s="30">
        <v>30511</v>
      </c>
      <c r="O30" s="87">
        <v>0</v>
      </c>
      <c r="P30" s="59">
        <v>0</v>
      </c>
      <c r="Q30" s="25">
        <f t="shared" si="6"/>
        <v>19575476.180592701</v>
      </c>
      <c r="R30" s="65">
        <f t="shared" si="3"/>
        <v>19486314.129061446</v>
      </c>
      <c r="S30" s="25">
        <f t="shared" si="4"/>
        <v>-103711.48093852773</v>
      </c>
      <c r="T30" s="38">
        <f t="shared" si="5"/>
        <v>5.2701098603405456E-3</v>
      </c>
      <c r="U30" t="s">
        <v>79</v>
      </c>
      <c r="V30">
        <v>154.99794796483101</v>
      </c>
      <c r="W30" t="s">
        <v>20</v>
      </c>
      <c r="X30" s="64">
        <v>2.0300904863380698E-55</v>
      </c>
      <c r="Y30" s="64"/>
      <c r="AA30" t="s">
        <v>16</v>
      </c>
      <c r="AB30">
        <v>233370554573808</v>
      </c>
      <c r="AC30" t="s">
        <v>17</v>
      </c>
      <c r="AD30">
        <v>1377432.9682060301</v>
      </c>
      <c r="AE30" s="64"/>
      <c r="AG30" s="2"/>
      <c r="AH30" s="39"/>
      <c r="AI30" s="82"/>
      <c r="AJ30" s="55"/>
      <c r="AK30" s="2"/>
      <c r="AL30" s="29"/>
      <c r="AO30" s="2"/>
      <c r="AP30" s="56"/>
      <c r="AQ30" s="5"/>
      <c r="AR30" s="5"/>
      <c r="AS30" s="2"/>
      <c r="AT30" s="56"/>
      <c r="AU30" s="5"/>
      <c r="AV30" s="5"/>
    </row>
    <row r="31" spans="1:48">
      <c r="A31" s="2">
        <v>41395</v>
      </c>
      <c r="B31">
        <f t="shared" si="1"/>
        <v>2013</v>
      </c>
      <c r="C31">
        <f t="shared" si="2"/>
        <v>5</v>
      </c>
      <c r="D31" s="69">
        <v>20707182.480000004</v>
      </c>
      <c r="E31" s="69">
        <v>89162.051531255813</v>
      </c>
      <c r="F31" s="69">
        <v>20796344.531531259</v>
      </c>
      <c r="G31" s="63">
        <v>70.100000000000009</v>
      </c>
      <c r="H31" s="63">
        <v>46.1</v>
      </c>
      <c r="I31" s="66">
        <f t="shared" si="7"/>
        <v>92.127894736842109</v>
      </c>
      <c r="J31" s="66">
        <f t="shared" si="7"/>
        <v>50.712631578947821</v>
      </c>
      <c r="K31" s="25">
        <v>31</v>
      </c>
      <c r="L31" s="25">
        <v>1</v>
      </c>
      <c r="M31" s="25">
        <v>0</v>
      </c>
      <c r="N31" s="30">
        <v>30723</v>
      </c>
      <c r="O31" s="87">
        <v>0</v>
      </c>
      <c r="P31" s="59">
        <v>0</v>
      </c>
      <c r="Q31" s="25">
        <f t="shared" si="6"/>
        <v>21205077.356646538</v>
      </c>
      <c r="R31" s="65">
        <f t="shared" si="3"/>
        <v>21115915.305115283</v>
      </c>
      <c r="S31" s="25">
        <f t="shared" si="4"/>
        <v>408732.82511527836</v>
      </c>
      <c r="T31" s="38">
        <f t="shared" si="5"/>
        <v>1.9654070670716228E-2</v>
      </c>
      <c r="U31" t="s">
        <v>21</v>
      </c>
      <c r="V31">
        <v>-3.72299638746246E-2</v>
      </c>
      <c r="W31" t="s">
        <v>22</v>
      </c>
      <c r="X31">
        <v>2.0739298535490098</v>
      </c>
      <c r="Y31" s="64"/>
      <c r="AA31" t="s">
        <v>18</v>
      </c>
      <c r="AB31">
        <v>0.93843263368290097</v>
      </c>
      <c r="AC31" t="s">
        <v>19</v>
      </c>
      <c r="AD31">
        <v>0.93442825213382197</v>
      </c>
      <c r="AE31" s="64"/>
      <c r="AG31" s="2"/>
      <c r="AH31" s="39"/>
      <c r="AI31" s="51"/>
      <c r="AJ31" s="55"/>
      <c r="AK31" s="2"/>
      <c r="AL31" s="29"/>
      <c r="AO31" s="2"/>
      <c r="AP31" s="56"/>
      <c r="AQ31" s="5"/>
      <c r="AR31" s="5"/>
      <c r="AS31" s="2"/>
      <c r="AT31" s="56"/>
      <c r="AU31" s="5"/>
      <c r="AV31" s="5"/>
    </row>
    <row r="32" spans="1:48">
      <c r="A32" s="2">
        <v>41426</v>
      </c>
      <c r="B32">
        <f t="shared" si="1"/>
        <v>2013</v>
      </c>
      <c r="C32">
        <f t="shared" si="2"/>
        <v>6</v>
      </c>
      <c r="D32" s="69">
        <v>24630971.620000005</v>
      </c>
      <c r="E32" s="69">
        <v>89162.051531255813</v>
      </c>
      <c r="F32" s="69">
        <v>24720133.67153126</v>
      </c>
      <c r="G32" s="63">
        <v>12.7</v>
      </c>
      <c r="H32" s="63">
        <v>99.300000000000011</v>
      </c>
      <c r="I32" s="66">
        <f t="shared" si="7"/>
        <v>6.5805263157894842</v>
      </c>
      <c r="J32" s="66">
        <f t="shared" si="7"/>
        <v>122.87210526315789</v>
      </c>
      <c r="K32" s="25">
        <v>30</v>
      </c>
      <c r="L32" s="25">
        <v>0</v>
      </c>
      <c r="M32" s="25">
        <v>0</v>
      </c>
      <c r="N32" s="30">
        <v>30825</v>
      </c>
      <c r="O32" s="87">
        <v>0</v>
      </c>
      <c r="P32" s="59">
        <v>0</v>
      </c>
      <c r="Q32" s="25">
        <f t="shared" si="6"/>
        <v>25902210.178886235</v>
      </c>
      <c r="R32" s="65">
        <f t="shared" si="3"/>
        <v>25813048.12735498</v>
      </c>
      <c r="S32" s="25">
        <f t="shared" si="4"/>
        <v>1182076.5073549747</v>
      </c>
      <c r="T32" s="38">
        <f t="shared" si="5"/>
        <v>4.7818370364085185E-2</v>
      </c>
      <c r="X32" s="64"/>
      <c r="Y32" s="64"/>
      <c r="AA32" t="s">
        <v>73</v>
      </c>
      <c r="AB32">
        <v>263.236867034233</v>
      </c>
      <c r="AC32" t="s">
        <v>20</v>
      </c>
      <c r="AD32" s="64">
        <v>1.5099957346625299E-73</v>
      </c>
      <c r="AE32" s="64"/>
      <c r="AG32" s="2"/>
      <c r="AH32" s="39"/>
      <c r="AI32" s="51"/>
      <c r="AJ32" s="55"/>
      <c r="AK32" s="2"/>
      <c r="AL32" s="29"/>
      <c r="AO32" s="2"/>
      <c r="AP32" s="56"/>
      <c r="AQ32" s="5"/>
      <c r="AR32" s="5"/>
      <c r="AS32" s="2"/>
      <c r="AT32" s="56"/>
      <c r="AU32" s="5"/>
      <c r="AV32" s="5"/>
    </row>
    <row r="33" spans="1:51">
      <c r="A33" s="2">
        <v>41456</v>
      </c>
      <c r="B33">
        <f t="shared" si="1"/>
        <v>2013</v>
      </c>
      <c r="C33">
        <f t="shared" si="2"/>
        <v>7</v>
      </c>
      <c r="D33" s="69">
        <v>30978235.180000015</v>
      </c>
      <c r="E33" s="69">
        <v>89162.051531255813</v>
      </c>
      <c r="F33" s="69">
        <v>31067397.23153127</v>
      </c>
      <c r="G33" s="63">
        <v>0</v>
      </c>
      <c r="H33" s="63">
        <v>195.3</v>
      </c>
      <c r="I33" s="66">
        <f t="shared" si="7"/>
        <v>0</v>
      </c>
      <c r="J33" s="66">
        <f t="shared" si="7"/>
        <v>211.7568421052631</v>
      </c>
      <c r="K33" s="25">
        <v>31</v>
      </c>
      <c r="L33" s="25">
        <v>0</v>
      </c>
      <c r="M33" s="25">
        <v>0</v>
      </c>
      <c r="N33" s="30">
        <v>30936</v>
      </c>
      <c r="O33" s="87">
        <v>0</v>
      </c>
      <c r="P33" s="59">
        <v>0</v>
      </c>
      <c r="Q33" s="25">
        <f t="shared" si="6"/>
        <v>31925299.547681484</v>
      </c>
      <c r="R33" s="65">
        <f t="shared" si="3"/>
        <v>31836137.496150229</v>
      </c>
      <c r="S33" s="25">
        <f t="shared" si="4"/>
        <v>857902.31615021452</v>
      </c>
      <c r="T33" s="38">
        <f t="shared" si="5"/>
        <v>2.7614232043857947E-2</v>
      </c>
      <c r="Y33" s="64"/>
      <c r="AA33" t="s">
        <v>21</v>
      </c>
      <c r="AB33">
        <v>-4.2291676121520702E-3</v>
      </c>
      <c r="AC33" t="s">
        <v>22</v>
      </c>
      <c r="AD33">
        <v>1.9974519624829501</v>
      </c>
      <c r="AE33" s="64"/>
      <c r="AG33" s="2"/>
      <c r="AH33" s="39"/>
      <c r="AI33" s="82"/>
      <c r="AJ33" s="55"/>
      <c r="AK33" s="2"/>
      <c r="AL33" s="29"/>
      <c r="AO33" s="2"/>
      <c r="AP33" s="56"/>
      <c r="AQ33" s="5"/>
      <c r="AR33" s="5"/>
      <c r="AS33" s="2"/>
      <c r="AT33" s="56"/>
      <c r="AU33" s="5"/>
      <c r="AV33" s="5"/>
    </row>
    <row r="34" spans="1:51">
      <c r="A34" s="2">
        <v>41487</v>
      </c>
      <c r="B34">
        <f t="shared" si="1"/>
        <v>2013</v>
      </c>
      <c r="C34">
        <f t="shared" si="2"/>
        <v>8</v>
      </c>
      <c r="D34" s="69">
        <v>28353597.569999993</v>
      </c>
      <c r="E34" s="69">
        <v>89162.051531255813</v>
      </c>
      <c r="F34" s="69">
        <v>28442759.621531248</v>
      </c>
      <c r="G34" s="63">
        <v>0</v>
      </c>
      <c r="H34" s="63">
        <v>151.39999999999998</v>
      </c>
      <c r="I34" s="66">
        <f t="shared" si="7"/>
        <v>0.34105263157894772</v>
      </c>
      <c r="J34" s="66">
        <f t="shared" si="7"/>
        <v>191.39947368421053</v>
      </c>
      <c r="K34" s="25">
        <v>31</v>
      </c>
      <c r="L34" s="25">
        <v>0</v>
      </c>
      <c r="M34" s="25">
        <v>0</v>
      </c>
      <c r="N34" s="30">
        <v>30985</v>
      </c>
      <c r="O34" s="87">
        <v>0</v>
      </c>
      <c r="P34" s="59">
        <v>0</v>
      </c>
      <c r="Q34" s="25">
        <f t="shared" si="6"/>
        <v>30530554.883557007</v>
      </c>
      <c r="R34" s="65">
        <f t="shared" si="3"/>
        <v>30441392.832025751</v>
      </c>
      <c r="S34" s="25">
        <f t="shared" si="4"/>
        <v>2087795.2620257586</v>
      </c>
      <c r="T34" s="38">
        <f t="shared" si="5"/>
        <v>7.3403400014859732E-2</v>
      </c>
      <c r="Y34" s="64"/>
      <c r="AG34" s="2"/>
      <c r="AH34" s="39"/>
      <c r="AI34" s="51"/>
      <c r="AJ34" s="55"/>
      <c r="AK34" s="2"/>
      <c r="AL34" s="29"/>
      <c r="AO34" s="2"/>
      <c r="AP34" s="56"/>
      <c r="AQ34" s="5"/>
      <c r="AR34" s="5"/>
      <c r="AS34" s="2"/>
      <c r="AT34" s="56"/>
      <c r="AU34" s="5"/>
      <c r="AV34" s="5"/>
    </row>
    <row r="35" spans="1:51">
      <c r="A35" s="2">
        <v>41518</v>
      </c>
      <c r="B35">
        <f t="shared" si="1"/>
        <v>2013</v>
      </c>
      <c r="C35">
        <f t="shared" si="2"/>
        <v>9</v>
      </c>
      <c r="D35" s="69">
        <v>20823560.830000009</v>
      </c>
      <c r="E35" s="69">
        <v>89162.051531255813</v>
      </c>
      <c r="F35" s="69">
        <v>20912722.881531265</v>
      </c>
      <c r="G35" s="63">
        <v>49.2</v>
      </c>
      <c r="H35" s="63">
        <v>47.3</v>
      </c>
      <c r="I35" s="66">
        <f t="shared" ref="I35:J50" si="8">I47</f>
        <v>26.567368421052606</v>
      </c>
      <c r="J35" s="66">
        <f t="shared" si="8"/>
        <v>77.107368421052627</v>
      </c>
      <c r="K35" s="25">
        <v>30</v>
      </c>
      <c r="L35" s="25">
        <v>1</v>
      </c>
      <c r="M35" s="25">
        <v>1</v>
      </c>
      <c r="N35" s="30">
        <v>31028</v>
      </c>
      <c r="O35" s="87">
        <v>0</v>
      </c>
      <c r="P35" s="59">
        <v>0</v>
      </c>
      <c r="Q35" s="25">
        <f t="shared" si="6"/>
        <v>22293699.910069223</v>
      </c>
      <c r="R35" s="65">
        <f t="shared" si="3"/>
        <v>22204537.858537968</v>
      </c>
      <c r="S35" s="25">
        <f t="shared" si="4"/>
        <v>1380977.0285379589</v>
      </c>
      <c r="T35" s="38">
        <f t="shared" si="5"/>
        <v>6.6035256927616373E-2</v>
      </c>
      <c r="Y35" s="64"/>
      <c r="AG35" s="2"/>
      <c r="AH35" s="39"/>
      <c r="AI35" s="51"/>
      <c r="AJ35" s="55"/>
      <c r="AK35" s="2"/>
      <c r="AL35" s="29"/>
      <c r="AO35" s="2"/>
      <c r="AP35" s="56"/>
      <c r="AQ35" s="5"/>
      <c r="AR35" s="5"/>
      <c r="AS35" s="2"/>
      <c r="AT35" s="56"/>
      <c r="AU35" s="29"/>
      <c r="AV35" s="5"/>
    </row>
    <row r="36" spans="1:51">
      <c r="A36" s="2">
        <v>41548</v>
      </c>
      <c r="B36">
        <f t="shared" si="1"/>
        <v>2013</v>
      </c>
      <c r="C36">
        <f t="shared" si="2"/>
        <v>10</v>
      </c>
      <c r="D36" s="69">
        <v>20892190.989999991</v>
      </c>
      <c r="E36" s="69">
        <v>89162.051531255813</v>
      </c>
      <c r="F36" s="69">
        <v>20981353.041531246</v>
      </c>
      <c r="G36" s="63">
        <v>166</v>
      </c>
      <c r="H36" s="63">
        <v>4.6999999999999993</v>
      </c>
      <c r="I36" s="66">
        <f t="shared" si="8"/>
        <v>154.52315789473778</v>
      </c>
      <c r="J36" s="66">
        <f t="shared" si="8"/>
        <v>10.628421052631595</v>
      </c>
      <c r="K36" s="25">
        <v>31</v>
      </c>
      <c r="L36" s="25">
        <v>1</v>
      </c>
      <c r="M36" s="25">
        <v>0</v>
      </c>
      <c r="N36" s="30">
        <v>31160</v>
      </c>
      <c r="O36" s="87">
        <v>0</v>
      </c>
      <c r="P36" s="59">
        <v>0</v>
      </c>
      <c r="Q36" s="25">
        <f t="shared" si="6"/>
        <v>21202730.910649247</v>
      </c>
      <c r="R36" s="65">
        <f t="shared" si="3"/>
        <v>21113568.859117992</v>
      </c>
      <c r="S36" s="25">
        <f t="shared" si="4"/>
        <v>221377.86911800131</v>
      </c>
      <c r="T36" s="38">
        <f t="shared" si="5"/>
        <v>1.0551172208951347E-2</v>
      </c>
      <c r="Y36" s="64"/>
      <c r="AG36" s="2"/>
      <c r="AH36" s="39"/>
      <c r="AJ36" s="55"/>
      <c r="AK36" s="2"/>
      <c r="AL36" s="29"/>
      <c r="AO36" s="2"/>
      <c r="AP36" s="56"/>
      <c r="AQ36" s="5"/>
      <c r="AR36" s="5"/>
      <c r="AS36" s="2"/>
      <c r="AT36" s="56"/>
      <c r="AU36" s="5"/>
      <c r="AV36" s="5"/>
    </row>
    <row r="37" spans="1:51">
      <c r="A37" s="2">
        <v>41579</v>
      </c>
      <c r="B37">
        <f t="shared" si="1"/>
        <v>2013</v>
      </c>
      <c r="C37">
        <f t="shared" si="2"/>
        <v>11</v>
      </c>
      <c r="D37" s="69">
        <v>21740451.749999989</v>
      </c>
      <c r="E37" s="69">
        <v>89162.051531255813</v>
      </c>
      <c r="F37" s="69">
        <v>21829613.801531244</v>
      </c>
      <c r="G37" s="63">
        <v>418.20000000000005</v>
      </c>
      <c r="H37" s="63">
        <v>0</v>
      </c>
      <c r="I37" s="66">
        <f t="shared" si="8"/>
        <v>363.9931578947369</v>
      </c>
      <c r="J37" s="66">
        <f t="shared" si="8"/>
        <v>1.8421052631579116E-2</v>
      </c>
      <c r="K37" s="25">
        <v>30</v>
      </c>
      <c r="L37" s="25">
        <v>1</v>
      </c>
      <c r="M37" s="25">
        <v>0</v>
      </c>
      <c r="N37" s="30">
        <v>31231</v>
      </c>
      <c r="O37" s="87">
        <v>0</v>
      </c>
      <c r="P37" s="59">
        <v>0</v>
      </c>
      <c r="Q37" s="25">
        <f t="shared" si="6"/>
        <v>21416480.028193384</v>
      </c>
      <c r="R37" s="65">
        <f t="shared" si="3"/>
        <v>21327317.976662129</v>
      </c>
      <c r="S37" s="25">
        <f t="shared" si="4"/>
        <v>-413133.77333785966</v>
      </c>
      <c r="T37" s="38">
        <f t="shared" si="5"/>
        <v>1.892538168993536E-2</v>
      </c>
      <c r="Y37" s="64"/>
      <c r="AG37" s="2"/>
      <c r="AK37" s="2"/>
      <c r="AO37" s="2"/>
      <c r="AP37" s="57"/>
      <c r="AQ37" s="5"/>
      <c r="AR37" s="5"/>
      <c r="AS37" s="2"/>
      <c r="AT37" s="57"/>
      <c r="AU37" s="53"/>
      <c r="AV37" s="5"/>
      <c r="AW37" s="23"/>
      <c r="AX37" s="23"/>
    </row>
    <row r="38" spans="1:51">
      <c r="A38" s="2">
        <v>41609</v>
      </c>
      <c r="B38">
        <f t="shared" si="1"/>
        <v>2013</v>
      </c>
      <c r="C38">
        <f t="shared" si="2"/>
        <v>12</v>
      </c>
      <c r="D38" s="69">
        <v>28821858.809999991</v>
      </c>
      <c r="E38" s="69">
        <v>89162.051531255813</v>
      </c>
      <c r="F38" s="69">
        <v>28911020.861531246</v>
      </c>
      <c r="G38" s="63">
        <v>625.9</v>
      </c>
      <c r="H38" s="63">
        <v>0</v>
      </c>
      <c r="I38" s="66">
        <f t="shared" si="8"/>
        <v>499.7842105263162</v>
      </c>
      <c r="J38" s="66">
        <f t="shared" si="8"/>
        <v>0</v>
      </c>
      <c r="K38" s="25">
        <v>31</v>
      </c>
      <c r="L38" s="25">
        <v>0</v>
      </c>
      <c r="M38" s="25">
        <v>0</v>
      </c>
      <c r="N38" s="30">
        <v>31309</v>
      </c>
      <c r="O38" s="87">
        <v>0</v>
      </c>
      <c r="P38" s="59">
        <v>0</v>
      </c>
      <c r="Q38" s="25">
        <f t="shared" si="6"/>
        <v>27947603.724004988</v>
      </c>
      <c r="R38" s="65">
        <f t="shared" si="3"/>
        <v>27858441.672473732</v>
      </c>
      <c r="S38" s="25">
        <f t="shared" si="4"/>
        <v>-963417.13752625883</v>
      </c>
      <c r="T38" s="38">
        <f t="shared" si="5"/>
        <v>3.3323525382950879E-2</v>
      </c>
      <c r="Y38" s="64"/>
      <c r="AG38" s="2"/>
      <c r="AK38" s="2"/>
      <c r="AO38" s="2"/>
      <c r="AP38" s="57"/>
      <c r="AQ38" s="5"/>
      <c r="AR38" s="5"/>
      <c r="AS38" s="2"/>
      <c r="AT38" s="57"/>
      <c r="AU38" s="5"/>
      <c r="AV38" s="5"/>
      <c r="AW38" s="23"/>
      <c r="AX38" s="23"/>
    </row>
    <row r="39" spans="1:51">
      <c r="A39" s="2">
        <v>41640</v>
      </c>
      <c r="B39">
        <f t="shared" si="1"/>
        <v>2014</v>
      </c>
      <c r="C39">
        <f t="shared" si="2"/>
        <v>1</v>
      </c>
      <c r="D39" s="69">
        <v>26189486.200000007</v>
      </c>
      <c r="E39" s="69">
        <v>170537.35727284456</v>
      </c>
      <c r="F39" s="69">
        <v>26360023.557272851</v>
      </c>
      <c r="G39" s="63">
        <v>763.9000000000002</v>
      </c>
      <c r="H39" s="63">
        <v>0</v>
      </c>
      <c r="I39" s="66">
        <f t="shared" si="8"/>
        <v>619.82052631578927</v>
      </c>
      <c r="J39" s="66">
        <f t="shared" si="8"/>
        <v>0</v>
      </c>
      <c r="K39" s="25">
        <v>31</v>
      </c>
      <c r="L39" s="25">
        <v>0</v>
      </c>
      <c r="M39" s="25">
        <v>0</v>
      </c>
      <c r="N39" s="30">
        <v>31327</v>
      </c>
      <c r="O39" s="87">
        <v>0</v>
      </c>
      <c r="P39" s="59">
        <v>0</v>
      </c>
      <c r="Q39" s="25">
        <f t="shared" si="6"/>
        <v>25259379.183618933</v>
      </c>
      <c r="R39" s="65">
        <f t="shared" si="3"/>
        <v>25088841.826346088</v>
      </c>
      <c r="S39" s="25">
        <f t="shared" si="4"/>
        <v>-1100644.3736539185</v>
      </c>
      <c r="T39" s="38">
        <f t="shared" si="5"/>
        <v>4.175430159470573E-2</v>
      </c>
      <c r="Y39" s="64"/>
      <c r="AG39" s="2"/>
      <c r="AK39" s="2"/>
      <c r="AO39" s="2"/>
      <c r="AP39" s="57"/>
      <c r="AQ39" s="5"/>
      <c r="AR39" s="5"/>
      <c r="AS39" s="2"/>
      <c r="AT39" s="57"/>
      <c r="AU39" s="5"/>
      <c r="AV39" s="5"/>
      <c r="AW39" s="23"/>
      <c r="AX39" s="23"/>
    </row>
    <row r="40" spans="1:51">
      <c r="A40" s="2">
        <v>41671</v>
      </c>
      <c r="B40">
        <f t="shared" si="1"/>
        <v>2014</v>
      </c>
      <c r="C40">
        <f t="shared" si="2"/>
        <v>2</v>
      </c>
      <c r="D40" s="69">
        <v>26203678.18999999</v>
      </c>
      <c r="E40" s="69">
        <v>170537.35727284456</v>
      </c>
      <c r="F40" s="69">
        <v>26374215.547272835</v>
      </c>
      <c r="G40" s="63">
        <v>681.0999999999998</v>
      </c>
      <c r="H40" s="63">
        <v>0</v>
      </c>
      <c r="I40" s="66">
        <f t="shared" si="8"/>
        <v>570.53578947368419</v>
      </c>
      <c r="J40" s="66">
        <f t="shared" si="8"/>
        <v>0</v>
      </c>
      <c r="K40" s="25">
        <v>28</v>
      </c>
      <c r="L40" s="25">
        <v>0</v>
      </c>
      <c r="M40" s="25">
        <v>0</v>
      </c>
      <c r="N40" s="30">
        <v>31341</v>
      </c>
      <c r="O40" s="87">
        <v>0</v>
      </c>
      <c r="P40" s="59">
        <v>0</v>
      </c>
      <c r="Q40" s="25">
        <f t="shared" si="6"/>
        <v>25529599.217607465</v>
      </c>
      <c r="R40" s="65">
        <f t="shared" si="3"/>
        <v>25359061.86033462</v>
      </c>
      <c r="S40" s="25">
        <f t="shared" si="4"/>
        <v>-844616.32966537029</v>
      </c>
      <c r="T40" s="38">
        <f t="shared" si="5"/>
        <v>3.2024320425814747E-2</v>
      </c>
      <c r="Y40" s="64"/>
      <c r="AG40" s="2"/>
      <c r="AK40" s="2"/>
      <c r="AO40" s="2"/>
      <c r="AP40" s="57"/>
      <c r="AQ40" s="5"/>
      <c r="AR40" s="5"/>
      <c r="AS40" s="2"/>
      <c r="AT40" s="57"/>
      <c r="AU40" s="5"/>
      <c r="AV40" s="5"/>
      <c r="AW40" s="23"/>
      <c r="AX40" s="23"/>
    </row>
    <row r="41" spans="1:51">
      <c r="A41" s="2">
        <v>41699</v>
      </c>
      <c r="B41">
        <f t="shared" si="1"/>
        <v>2014</v>
      </c>
      <c r="C41">
        <f t="shared" si="2"/>
        <v>3</v>
      </c>
      <c r="D41" s="69">
        <v>23971257.690000013</v>
      </c>
      <c r="E41" s="69">
        <v>170537.35727284456</v>
      </c>
      <c r="F41" s="69">
        <v>24141795.047272857</v>
      </c>
      <c r="G41" s="63">
        <v>628.6</v>
      </c>
      <c r="H41" s="63">
        <v>0</v>
      </c>
      <c r="I41" s="66">
        <f t="shared" si="8"/>
        <v>461.49315789473712</v>
      </c>
      <c r="J41" s="66">
        <f t="shared" si="8"/>
        <v>0.17368421052631611</v>
      </c>
      <c r="K41" s="25">
        <v>31</v>
      </c>
      <c r="L41" s="25">
        <v>1</v>
      </c>
      <c r="M41" s="25">
        <v>0</v>
      </c>
      <c r="N41" s="30">
        <v>31333</v>
      </c>
      <c r="O41" s="87">
        <v>0</v>
      </c>
      <c r="P41" s="59">
        <v>0</v>
      </c>
      <c r="Q41" s="25">
        <f t="shared" si="6"/>
        <v>22874295.439344585</v>
      </c>
      <c r="R41" s="65">
        <f t="shared" si="3"/>
        <v>22703758.08207174</v>
      </c>
      <c r="S41" s="25">
        <f t="shared" si="4"/>
        <v>-1267499.6079282723</v>
      </c>
      <c r="T41" s="38">
        <f t="shared" si="5"/>
        <v>5.2502293447787909E-2</v>
      </c>
      <c r="AG41" s="2"/>
      <c r="AK41" s="2"/>
      <c r="AO41" s="2"/>
      <c r="AP41" s="57"/>
      <c r="AQ41" s="5"/>
      <c r="AR41" s="5"/>
      <c r="AS41" s="2"/>
      <c r="AT41" s="57"/>
      <c r="AU41" s="5"/>
      <c r="AV41" s="5"/>
      <c r="AW41" s="23"/>
      <c r="AX41" s="23"/>
    </row>
    <row r="42" spans="1:51">
      <c r="A42" s="2">
        <v>41730</v>
      </c>
      <c r="B42">
        <f t="shared" si="1"/>
        <v>2014</v>
      </c>
      <c r="C42">
        <f t="shared" si="2"/>
        <v>4</v>
      </c>
      <c r="D42" s="69">
        <v>21900568.520000003</v>
      </c>
      <c r="E42" s="69">
        <v>170537.35727284456</v>
      </c>
      <c r="F42" s="69">
        <v>22071105.877272848</v>
      </c>
      <c r="G42" s="63">
        <v>296.90000000000003</v>
      </c>
      <c r="H42" s="63">
        <v>0</v>
      </c>
      <c r="I42" s="66">
        <f t="shared" si="8"/>
        <v>285.02368421052643</v>
      </c>
      <c r="J42" s="66">
        <f t="shared" si="8"/>
        <v>0</v>
      </c>
      <c r="K42" s="25">
        <v>30</v>
      </c>
      <c r="L42" s="25">
        <v>1</v>
      </c>
      <c r="M42" s="25">
        <v>0</v>
      </c>
      <c r="N42" s="30">
        <v>31349</v>
      </c>
      <c r="O42" s="87">
        <v>0</v>
      </c>
      <c r="P42" s="59">
        <v>0</v>
      </c>
      <c r="Q42" s="25">
        <f t="shared" si="6"/>
        <v>21980380.947349302</v>
      </c>
      <c r="R42" s="65">
        <f t="shared" si="3"/>
        <v>21809843.590076458</v>
      </c>
      <c r="S42" s="25">
        <f t="shared" si="4"/>
        <v>-90724.929923545569</v>
      </c>
      <c r="T42" s="38">
        <f t="shared" si="5"/>
        <v>4.1105747228083944E-3</v>
      </c>
      <c r="Y42" s="64"/>
      <c r="AG42" s="2"/>
      <c r="AK42" s="2"/>
      <c r="AO42" s="2"/>
      <c r="AP42" s="57"/>
      <c r="AQ42" s="5"/>
      <c r="AR42" s="5"/>
      <c r="AS42" s="2"/>
      <c r="AT42" s="57"/>
      <c r="AU42" s="5"/>
      <c r="AV42" s="5"/>
      <c r="AW42" s="23"/>
      <c r="AX42" s="23"/>
    </row>
    <row r="43" spans="1:51">
      <c r="A43" s="2">
        <v>41760</v>
      </c>
      <c r="B43">
        <f t="shared" si="1"/>
        <v>2014</v>
      </c>
      <c r="C43">
        <f t="shared" si="2"/>
        <v>5</v>
      </c>
      <c r="D43" s="69">
        <v>20478356.049999967</v>
      </c>
      <c r="E43" s="69">
        <v>170537.35727284456</v>
      </c>
      <c r="F43" s="69">
        <v>20648893.407272812</v>
      </c>
      <c r="G43" s="63">
        <v>81.700000000000031</v>
      </c>
      <c r="H43" s="63">
        <v>23.500000000000004</v>
      </c>
      <c r="I43" s="66">
        <f t="shared" si="8"/>
        <v>92.127894736842109</v>
      </c>
      <c r="J43" s="66">
        <f t="shared" si="8"/>
        <v>50.712631578947821</v>
      </c>
      <c r="K43" s="25">
        <v>31</v>
      </c>
      <c r="L43" s="25">
        <v>1</v>
      </c>
      <c r="M43" s="25">
        <v>0</v>
      </c>
      <c r="N43" s="30">
        <v>31435</v>
      </c>
      <c r="O43" s="87">
        <v>0</v>
      </c>
      <c r="P43" s="59">
        <v>0</v>
      </c>
      <c r="Q43" s="25">
        <f t="shared" si="6"/>
        <v>22147159.921022043</v>
      </c>
      <c r="R43" s="65">
        <f t="shared" si="3"/>
        <v>21976622.563749198</v>
      </c>
      <c r="S43" s="25">
        <f t="shared" si="4"/>
        <v>1498266.5137492307</v>
      </c>
      <c r="T43" s="38">
        <f t="shared" si="5"/>
        <v>7.2559167418701553E-2</v>
      </c>
      <c r="X43" s="64"/>
      <c r="Y43" s="64"/>
      <c r="AG43" s="2"/>
      <c r="AK43" s="2"/>
      <c r="AO43" s="2"/>
      <c r="AP43" s="57"/>
      <c r="AQ43" s="5"/>
      <c r="AR43" s="5"/>
      <c r="AS43" s="2"/>
      <c r="AT43" s="57"/>
      <c r="AU43" s="5"/>
      <c r="AV43" s="5"/>
      <c r="AW43" s="23"/>
      <c r="AX43" s="23"/>
    </row>
    <row r="44" spans="1:51">
      <c r="A44" s="2">
        <v>41791</v>
      </c>
      <c r="B44">
        <f t="shared" si="1"/>
        <v>2014</v>
      </c>
      <c r="C44">
        <f t="shared" si="2"/>
        <v>6</v>
      </c>
      <c r="D44" s="69">
        <v>24401887.909999993</v>
      </c>
      <c r="E44" s="69">
        <v>170537.35727284456</v>
      </c>
      <c r="F44" s="69">
        <v>24572425.267272837</v>
      </c>
      <c r="G44" s="63">
        <v>2.7999999999999989</v>
      </c>
      <c r="H44" s="63">
        <v>116.8</v>
      </c>
      <c r="I44" s="66">
        <f t="shared" si="8"/>
        <v>6.5805263157894842</v>
      </c>
      <c r="J44" s="66">
        <f t="shared" si="8"/>
        <v>122.87210526315789</v>
      </c>
      <c r="K44" s="25">
        <v>30</v>
      </c>
      <c r="L44" s="25">
        <v>0</v>
      </c>
      <c r="M44" s="25">
        <v>0</v>
      </c>
      <c r="N44" s="30">
        <v>31553</v>
      </c>
      <c r="O44" s="87">
        <v>0</v>
      </c>
      <c r="P44" s="59">
        <v>0</v>
      </c>
      <c r="Q44" s="25">
        <f t="shared" si="6"/>
        <v>24917846.746808726</v>
      </c>
      <c r="R44" s="65">
        <f t="shared" si="3"/>
        <v>24747309.389535882</v>
      </c>
      <c r="S44" s="25">
        <f t="shared" si="4"/>
        <v>345421.47953588888</v>
      </c>
      <c r="T44" s="38">
        <f t="shared" si="5"/>
        <v>1.4057280703014033E-2</v>
      </c>
      <c r="AG44" s="2"/>
      <c r="AK44" s="2"/>
      <c r="AO44" s="2"/>
      <c r="AP44" s="57"/>
      <c r="AQ44" s="5"/>
      <c r="AR44" s="5"/>
      <c r="AS44" s="2"/>
      <c r="AT44" s="57"/>
      <c r="AU44" s="5"/>
      <c r="AV44" s="5"/>
      <c r="AW44" s="23"/>
      <c r="AX44" s="23"/>
    </row>
    <row r="45" spans="1:51">
      <c r="A45" s="2">
        <v>41821</v>
      </c>
      <c r="B45">
        <f t="shared" si="1"/>
        <v>2014</v>
      </c>
      <c r="C45">
        <f t="shared" si="2"/>
        <v>7</v>
      </c>
      <c r="D45" s="69">
        <v>28438794.999999996</v>
      </c>
      <c r="E45" s="69">
        <v>170537.35727284456</v>
      </c>
      <c r="F45" s="69">
        <v>28609332.357272841</v>
      </c>
      <c r="G45" s="63">
        <v>0</v>
      </c>
      <c r="H45" s="63">
        <v>129</v>
      </c>
      <c r="I45" s="66">
        <f t="shared" si="8"/>
        <v>0</v>
      </c>
      <c r="J45" s="66">
        <f t="shared" si="8"/>
        <v>211.7568421052631</v>
      </c>
      <c r="K45" s="25">
        <v>31</v>
      </c>
      <c r="L45" s="25">
        <v>0</v>
      </c>
      <c r="M45" s="25">
        <v>0</v>
      </c>
      <c r="N45" s="30">
        <v>31756</v>
      </c>
      <c r="O45" s="87">
        <v>0</v>
      </c>
      <c r="P45" s="59">
        <v>0</v>
      </c>
      <c r="Q45" s="25">
        <f t="shared" si="6"/>
        <v>32923482.42721105</v>
      </c>
      <c r="R45" s="65">
        <f t="shared" si="3"/>
        <v>32752945.069938205</v>
      </c>
      <c r="S45" s="25">
        <f t="shared" si="4"/>
        <v>4314150.0699382089</v>
      </c>
      <c r="T45" s="38">
        <f t="shared" si="5"/>
        <v>0.15079520263049759</v>
      </c>
      <c r="Y45" s="64"/>
      <c r="AG45" s="2"/>
      <c r="AK45" s="2"/>
      <c r="AO45" s="2"/>
      <c r="AP45" s="57"/>
      <c r="AQ45" s="5"/>
      <c r="AR45" s="5"/>
      <c r="AS45" s="2"/>
      <c r="AT45" s="57"/>
      <c r="AU45" s="5"/>
      <c r="AV45" s="5"/>
      <c r="AW45" s="23"/>
      <c r="AX45" s="23"/>
    </row>
    <row r="46" spans="1:51">
      <c r="A46" s="2">
        <v>41852</v>
      </c>
      <c r="B46">
        <f t="shared" si="1"/>
        <v>2014</v>
      </c>
      <c r="C46">
        <f t="shared" si="2"/>
        <v>8</v>
      </c>
      <c r="D46" s="69">
        <v>26308447.180000015</v>
      </c>
      <c r="E46" s="69">
        <v>170537.35727284456</v>
      </c>
      <c r="F46" s="69">
        <v>26478984.537272859</v>
      </c>
      <c r="G46" s="63">
        <v>1</v>
      </c>
      <c r="H46" s="63">
        <v>136</v>
      </c>
      <c r="I46" s="66">
        <f t="shared" si="8"/>
        <v>0.34105263157894772</v>
      </c>
      <c r="J46" s="66">
        <f t="shared" si="8"/>
        <v>191.39947368421053</v>
      </c>
      <c r="K46" s="25">
        <v>31</v>
      </c>
      <c r="L46" s="25">
        <v>0</v>
      </c>
      <c r="M46" s="25">
        <v>0</v>
      </c>
      <c r="N46" s="30">
        <v>31837</v>
      </c>
      <c r="O46" s="87">
        <v>0</v>
      </c>
      <c r="P46" s="59">
        <v>0</v>
      </c>
      <c r="Q46" s="25">
        <f t="shared" si="6"/>
        <v>29361949.330501493</v>
      </c>
      <c r="R46" s="65">
        <f t="shared" si="3"/>
        <v>29191411.973228648</v>
      </c>
      <c r="S46" s="25">
        <f t="shared" si="4"/>
        <v>2882964.7932286337</v>
      </c>
      <c r="T46" s="38">
        <f t="shared" si="5"/>
        <v>0.10887746806039557</v>
      </c>
      <c r="Y46" s="64"/>
      <c r="AG46" s="2"/>
      <c r="AK46" s="2"/>
      <c r="AO46" s="2"/>
      <c r="AP46" s="57"/>
      <c r="AQ46" s="5"/>
      <c r="AR46" s="5"/>
      <c r="AS46" s="2"/>
      <c r="AT46" s="57"/>
      <c r="AU46" s="5"/>
      <c r="AV46" s="5"/>
      <c r="AW46" s="23"/>
      <c r="AX46" s="23"/>
      <c r="AY46" s="23"/>
    </row>
    <row r="47" spans="1:51">
      <c r="A47" s="2">
        <v>41883</v>
      </c>
      <c r="B47">
        <f t="shared" si="1"/>
        <v>2014</v>
      </c>
      <c r="C47">
        <f t="shared" si="2"/>
        <v>9</v>
      </c>
      <c r="D47" s="69">
        <v>21592645.629999999</v>
      </c>
      <c r="E47" s="69">
        <v>170537.35727284456</v>
      </c>
      <c r="F47" s="69">
        <v>21763182.987272844</v>
      </c>
      <c r="G47" s="63">
        <v>39.299999999999997</v>
      </c>
      <c r="H47" s="63">
        <v>59.70000000000001</v>
      </c>
      <c r="I47" s="66">
        <f t="shared" si="8"/>
        <v>26.567368421052606</v>
      </c>
      <c r="J47" s="66">
        <f t="shared" si="8"/>
        <v>77.107368421052627</v>
      </c>
      <c r="K47" s="25">
        <v>30</v>
      </c>
      <c r="L47" s="25">
        <v>1</v>
      </c>
      <c r="M47" s="25">
        <v>1</v>
      </c>
      <c r="N47" s="30">
        <v>31970</v>
      </c>
      <c r="O47" s="87">
        <v>0</v>
      </c>
      <c r="P47" s="59">
        <v>0</v>
      </c>
      <c r="Q47" s="25">
        <f t="shared" si="6"/>
        <v>22573370.199821558</v>
      </c>
      <c r="R47" s="65">
        <f t="shared" si="3"/>
        <v>22402832.842548713</v>
      </c>
      <c r="S47" s="25">
        <f t="shared" si="4"/>
        <v>810187.21254871413</v>
      </c>
      <c r="T47" s="38">
        <f t="shared" si="5"/>
        <v>3.7227422708457365E-2</v>
      </c>
      <c r="AG47" s="2"/>
      <c r="AK47" s="2"/>
      <c r="AO47" s="2"/>
      <c r="AP47" s="57"/>
      <c r="AQ47" s="5"/>
      <c r="AR47" s="5"/>
      <c r="AS47" s="2"/>
      <c r="AT47" s="57"/>
      <c r="AU47" s="5"/>
      <c r="AV47" s="5"/>
      <c r="AW47" s="23"/>
      <c r="AX47" s="23"/>
    </row>
    <row r="48" spans="1:51">
      <c r="A48" s="2">
        <v>41913</v>
      </c>
      <c r="B48">
        <f t="shared" si="1"/>
        <v>2014</v>
      </c>
      <c r="C48">
        <f t="shared" si="2"/>
        <v>10</v>
      </c>
      <c r="D48" s="69">
        <v>21211727.290000003</v>
      </c>
      <c r="E48" s="69">
        <v>170537.35727284456</v>
      </c>
      <c r="F48" s="69">
        <v>21382264.647272848</v>
      </c>
      <c r="G48" s="63">
        <v>167.3</v>
      </c>
      <c r="H48" s="63">
        <v>6.3000000000000007</v>
      </c>
      <c r="I48" s="66">
        <f t="shared" si="8"/>
        <v>154.52315789473778</v>
      </c>
      <c r="J48" s="66">
        <f t="shared" si="8"/>
        <v>10.628421052631595</v>
      </c>
      <c r="K48" s="25">
        <v>31</v>
      </c>
      <c r="L48" s="25">
        <v>1</v>
      </c>
      <c r="M48" s="25">
        <v>0</v>
      </c>
      <c r="N48" s="30">
        <v>32106</v>
      </c>
      <c r="O48" s="87">
        <v>0</v>
      </c>
      <c r="P48" s="59">
        <v>0</v>
      </c>
      <c r="Q48" s="25">
        <f t="shared" si="6"/>
        <v>21510302.930530813</v>
      </c>
      <c r="R48" s="65">
        <f t="shared" si="3"/>
        <v>21339765.573257968</v>
      </c>
      <c r="S48" s="25">
        <f t="shared" si="4"/>
        <v>128038.283257965</v>
      </c>
      <c r="T48" s="38">
        <f t="shared" si="5"/>
        <v>5.9880599819577742E-3</v>
      </c>
      <c r="Y48" s="64"/>
      <c r="AG48" s="2"/>
      <c r="AK48" s="2"/>
      <c r="AO48" s="2"/>
      <c r="AP48" s="57"/>
      <c r="AQ48" s="5"/>
      <c r="AR48" s="5"/>
      <c r="AS48" s="2"/>
      <c r="AT48" s="57"/>
      <c r="AU48" s="5"/>
      <c r="AV48" s="5"/>
      <c r="AW48" s="23"/>
      <c r="AX48" s="23"/>
    </row>
    <row r="49" spans="1:50">
      <c r="A49" s="2">
        <v>41944</v>
      </c>
      <c r="B49">
        <f t="shared" si="1"/>
        <v>2014</v>
      </c>
      <c r="C49">
        <f t="shared" si="2"/>
        <v>11</v>
      </c>
      <c r="D49" s="69">
        <v>22391892.130000006</v>
      </c>
      <c r="E49" s="69">
        <v>170537.35727284456</v>
      </c>
      <c r="F49" s="69">
        <v>22562429.487272851</v>
      </c>
      <c r="G49" s="63">
        <v>422.10000000000008</v>
      </c>
      <c r="H49" s="63">
        <v>0</v>
      </c>
      <c r="I49" s="66">
        <f t="shared" si="8"/>
        <v>363.9931578947369</v>
      </c>
      <c r="J49" s="66">
        <f t="shared" si="8"/>
        <v>1.8421052631579116E-2</v>
      </c>
      <c r="K49" s="25">
        <v>30</v>
      </c>
      <c r="L49" s="25">
        <v>1</v>
      </c>
      <c r="M49" s="25">
        <v>0</v>
      </c>
      <c r="N49" s="30">
        <v>32208</v>
      </c>
      <c r="O49" s="87">
        <v>0</v>
      </c>
      <c r="P49" s="59">
        <v>0</v>
      </c>
      <c r="Q49" s="25">
        <f t="shared" si="6"/>
        <v>22119503.038077094</v>
      </c>
      <c r="R49" s="65">
        <f t="shared" si="3"/>
        <v>21948965.680804249</v>
      </c>
      <c r="S49" s="25">
        <f t="shared" si="4"/>
        <v>-442926.44919575751</v>
      </c>
      <c r="T49" s="38">
        <f t="shared" si="5"/>
        <v>1.9631150512652289E-2</v>
      </c>
      <c r="AG49" s="2"/>
      <c r="AK49" s="2"/>
      <c r="AO49" s="2"/>
      <c r="AP49" s="57"/>
      <c r="AQ49" s="5"/>
      <c r="AR49" s="5"/>
      <c r="AS49" s="2"/>
      <c r="AT49" s="57"/>
      <c r="AU49" s="5"/>
      <c r="AV49" s="5"/>
      <c r="AW49" s="23"/>
      <c r="AX49" s="23"/>
    </row>
    <row r="50" spans="1:50">
      <c r="A50" s="2">
        <v>41974</v>
      </c>
      <c r="B50">
        <f t="shared" si="1"/>
        <v>2014</v>
      </c>
      <c r="C50">
        <f t="shared" si="2"/>
        <v>12</v>
      </c>
      <c r="D50" s="69">
        <v>27503240.840000004</v>
      </c>
      <c r="E50" s="69">
        <v>170537.35727284456</v>
      </c>
      <c r="F50" s="69">
        <v>27673778.197272848</v>
      </c>
      <c r="G50" s="63">
        <v>495.30000000000007</v>
      </c>
      <c r="H50" s="63">
        <v>0</v>
      </c>
      <c r="I50" s="66">
        <f t="shared" si="8"/>
        <v>499.7842105263162</v>
      </c>
      <c r="J50" s="66">
        <f t="shared" si="8"/>
        <v>0</v>
      </c>
      <c r="K50" s="25">
        <v>31</v>
      </c>
      <c r="L50" s="25">
        <v>0</v>
      </c>
      <c r="M50" s="25">
        <v>0</v>
      </c>
      <c r="N50" s="30">
        <v>32268</v>
      </c>
      <c r="O50" s="87">
        <v>0</v>
      </c>
      <c r="P50" s="59">
        <v>0</v>
      </c>
      <c r="Q50" s="25">
        <f t="shared" si="6"/>
        <v>27708033.74360339</v>
      </c>
      <c r="R50" s="65">
        <f t="shared" si="3"/>
        <v>27537496.386330545</v>
      </c>
      <c r="S50" s="25">
        <f t="shared" si="4"/>
        <v>34255.546330541372</v>
      </c>
      <c r="T50" s="38">
        <f t="shared" si="5"/>
        <v>1.2378341000766253E-3</v>
      </c>
      <c r="AG50" s="2"/>
      <c r="AK50" s="2"/>
      <c r="AO50" s="2"/>
      <c r="AP50" s="57"/>
      <c r="AQ50" s="5"/>
      <c r="AR50" s="5"/>
      <c r="AS50" s="2"/>
      <c r="AT50" s="57"/>
      <c r="AU50" s="5"/>
      <c r="AV50" s="5"/>
      <c r="AW50" s="23"/>
      <c r="AX50" s="23"/>
    </row>
    <row r="51" spans="1:50">
      <c r="A51" s="2">
        <v>42005</v>
      </c>
      <c r="B51">
        <f t="shared" si="1"/>
        <v>2015</v>
      </c>
      <c r="C51">
        <f t="shared" si="2"/>
        <v>1</v>
      </c>
      <c r="D51" s="69">
        <v>27752175.363855418</v>
      </c>
      <c r="E51" s="69">
        <v>317002.07740110968</v>
      </c>
      <c r="F51" s="69">
        <v>28069177.441256527</v>
      </c>
      <c r="G51" s="63">
        <v>730.39999999999975</v>
      </c>
      <c r="H51" s="63">
        <v>0</v>
      </c>
      <c r="I51" s="66">
        <f t="shared" ref="I51:J66" si="9">I63</f>
        <v>619.82052631578927</v>
      </c>
      <c r="J51" s="66">
        <f t="shared" si="9"/>
        <v>0</v>
      </c>
      <c r="K51" s="25">
        <v>31</v>
      </c>
      <c r="L51" s="25">
        <v>0</v>
      </c>
      <c r="M51" s="25">
        <v>0</v>
      </c>
      <c r="N51" s="30">
        <v>32346</v>
      </c>
      <c r="O51" s="87">
        <v>0</v>
      </c>
      <c r="P51" s="59">
        <v>0</v>
      </c>
      <c r="Q51" s="25">
        <f t="shared" si="6"/>
        <v>27224444.514074303</v>
      </c>
      <c r="R51" s="65">
        <f t="shared" si="3"/>
        <v>26907442.436673194</v>
      </c>
      <c r="S51" s="25">
        <f t="shared" si="4"/>
        <v>-844732.92718222365</v>
      </c>
      <c r="T51" s="38">
        <f t="shared" si="5"/>
        <v>3.0094680506761898E-2</v>
      </c>
      <c r="AG51" s="2"/>
      <c r="AK51" s="2"/>
      <c r="AO51" s="2"/>
      <c r="AP51" s="57"/>
      <c r="AQ51" s="5"/>
      <c r="AR51" s="5"/>
      <c r="AS51" s="2"/>
      <c r="AT51" s="57"/>
      <c r="AU51" s="5"/>
      <c r="AV51" s="5"/>
      <c r="AW51" s="23"/>
      <c r="AX51" s="23"/>
    </row>
    <row r="52" spans="1:50">
      <c r="A52" s="2">
        <v>42036</v>
      </c>
      <c r="B52">
        <f t="shared" si="1"/>
        <v>2015</v>
      </c>
      <c r="C52">
        <f t="shared" si="2"/>
        <v>2</v>
      </c>
      <c r="D52" s="69">
        <v>26390163.306024112</v>
      </c>
      <c r="E52" s="69">
        <v>317002.07740110968</v>
      </c>
      <c r="F52" s="69">
        <v>26707165.383425221</v>
      </c>
      <c r="G52" s="63">
        <v>800.8</v>
      </c>
      <c r="H52" s="63">
        <v>0</v>
      </c>
      <c r="I52" s="66">
        <f t="shared" si="9"/>
        <v>570.53578947368419</v>
      </c>
      <c r="J52" s="66">
        <f t="shared" si="9"/>
        <v>0</v>
      </c>
      <c r="K52" s="25">
        <v>28</v>
      </c>
      <c r="L52" s="25">
        <v>0</v>
      </c>
      <c r="M52" s="25">
        <v>0</v>
      </c>
      <c r="N52" s="30">
        <v>32433</v>
      </c>
      <c r="O52" s="87">
        <v>0</v>
      </c>
      <c r="P52" s="59">
        <v>0</v>
      </c>
      <c r="Q52" s="25">
        <f t="shared" si="6"/>
        <v>24948143.079352047</v>
      </c>
      <c r="R52" s="65">
        <f t="shared" si="3"/>
        <v>24631141.001950938</v>
      </c>
      <c r="S52" s="25">
        <f t="shared" si="4"/>
        <v>-1759022.3040731736</v>
      </c>
      <c r="T52" s="38">
        <f t="shared" si="5"/>
        <v>6.5863309670626577E-2</v>
      </c>
      <c r="AG52" s="2"/>
      <c r="AK52" s="2"/>
      <c r="AO52" s="2"/>
      <c r="AP52" s="57"/>
      <c r="AQ52" s="5"/>
      <c r="AR52" s="5"/>
      <c r="AS52" s="2"/>
      <c r="AT52" s="57"/>
      <c r="AU52" s="5"/>
      <c r="AV52" s="5"/>
      <c r="AW52" s="23"/>
      <c r="AX52" s="23"/>
    </row>
    <row r="53" spans="1:50">
      <c r="A53" s="2">
        <v>42064</v>
      </c>
      <c r="B53">
        <f t="shared" si="1"/>
        <v>2015</v>
      </c>
      <c r="C53">
        <f t="shared" si="2"/>
        <v>3</v>
      </c>
      <c r="D53" s="69">
        <v>24161080.125301201</v>
      </c>
      <c r="E53" s="69">
        <v>317002.07740110968</v>
      </c>
      <c r="F53" s="69">
        <v>24478082.20270231</v>
      </c>
      <c r="G53" s="63">
        <v>553.5</v>
      </c>
      <c r="H53" s="63">
        <v>0</v>
      </c>
      <c r="I53" s="66">
        <f t="shared" si="9"/>
        <v>461.49315789473712</v>
      </c>
      <c r="J53" s="66">
        <f t="shared" si="9"/>
        <v>0.17368421052631611</v>
      </c>
      <c r="K53" s="25">
        <v>31</v>
      </c>
      <c r="L53" s="25">
        <v>1</v>
      </c>
      <c r="M53" s="25">
        <v>0</v>
      </c>
      <c r="N53" s="30">
        <v>32524</v>
      </c>
      <c r="O53" s="87">
        <v>0</v>
      </c>
      <c r="P53" s="59">
        <v>0</v>
      </c>
      <c r="Q53" s="25">
        <f t="shared" si="6"/>
        <v>23784282.583729975</v>
      </c>
      <c r="R53" s="65">
        <f t="shared" si="3"/>
        <v>23467280.506328866</v>
      </c>
      <c r="S53" s="25">
        <f t="shared" si="4"/>
        <v>-693799.61897233501</v>
      </c>
      <c r="T53" s="38">
        <f t="shared" si="5"/>
        <v>2.8343708188697133E-2</v>
      </c>
      <c r="AG53" s="2"/>
      <c r="AK53" s="2"/>
      <c r="AO53" s="2"/>
      <c r="AP53" s="57"/>
      <c r="AQ53" s="5"/>
      <c r="AR53" s="5"/>
      <c r="AS53" s="2"/>
      <c r="AT53" s="57"/>
      <c r="AU53" s="5"/>
      <c r="AV53" s="5"/>
      <c r="AW53" s="23"/>
      <c r="AX53" s="23"/>
    </row>
    <row r="54" spans="1:50">
      <c r="A54" s="2">
        <v>42095</v>
      </c>
      <c r="B54">
        <f t="shared" si="1"/>
        <v>2015</v>
      </c>
      <c r="C54">
        <f t="shared" si="2"/>
        <v>4</v>
      </c>
      <c r="D54" s="69">
        <v>20359667.007228933</v>
      </c>
      <c r="E54" s="69">
        <v>317002.07740110968</v>
      </c>
      <c r="F54" s="69">
        <v>20676669.084630042</v>
      </c>
      <c r="G54" s="63">
        <v>253.70000000000002</v>
      </c>
      <c r="H54" s="63">
        <v>0</v>
      </c>
      <c r="I54" s="66">
        <f t="shared" si="9"/>
        <v>285.02368421052643</v>
      </c>
      <c r="J54" s="66">
        <f t="shared" si="9"/>
        <v>0</v>
      </c>
      <c r="K54" s="25">
        <v>30</v>
      </c>
      <c r="L54" s="25">
        <v>1</v>
      </c>
      <c r="M54" s="25">
        <v>0</v>
      </c>
      <c r="N54" s="30">
        <v>32605</v>
      </c>
      <c r="O54" s="87">
        <v>0</v>
      </c>
      <c r="P54" s="59">
        <v>0</v>
      </c>
      <c r="Q54" s="25">
        <f t="shared" si="6"/>
        <v>20915955.33344014</v>
      </c>
      <c r="R54" s="65">
        <f t="shared" si="3"/>
        <v>20598953.256039031</v>
      </c>
      <c r="S54" s="25">
        <f t="shared" si="4"/>
        <v>239286.24881009758</v>
      </c>
      <c r="T54" s="38">
        <f t="shared" si="5"/>
        <v>1.1572765798528473E-2</v>
      </c>
      <c r="X54" s="64"/>
      <c r="AG54" s="2"/>
      <c r="AK54" s="2"/>
      <c r="AO54" s="2"/>
      <c r="AP54" s="57"/>
      <c r="AQ54" s="5"/>
      <c r="AR54" s="5"/>
      <c r="AS54" s="2"/>
      <c r="AT54" s="57"/>
      <c r="AU54" s="5"/>
      <c r="AV54" s="5"/>
      <c r="AW54" s="23"/>
      <c r="AX54" s="23"/>
    </row>
    <row r="55" spans="1:50">
      <c r="A55" s="2">
        <v>42125</v>
      </c>
      <c r="B55">
        <f t="shared" si="1"/>
        <v>2015</v>
      </c>
      <c r="C55">
        <f t="shared" si="2"/>
        <v>5</v>
      </c>
      <c r="D55" s="69">
        <v>21429091.180722896</v>
      </c>
      <c r="E55" s="69">
        <v>317002.07740110968</v>
      </c>
      <c r="F55" s="69">
        <v>21746093.258124005</v>
      </c>
      <c r="G55" s="63">
        <v>56.900000000000006</v>
      </c>
      <c r="H55" s="63">
        <v>63.7</v>
      </c>
      <c r="I55" s="66">
        <f t="shared" si="9"/>
        <v>92.127894736842109</v>
      </c>
      <c r="J55" s="66">
        <f t="shared" si="9"/>
        <v>50.712631578947821</v>
      </c>
      <c r="K55" s="25">
        <v>31</v>
      </c>
      <c r="L55" s="25">
        <v>1</v>
      </c>
      <c r="M55" s="25">
        <v>0</v>
      </c>
      <c r="N55" s="30">
        <v>32646</v>
      </c>
      <c r="O55" s="87">
        <v>0</v>
      </c>
      <c r="P55" s="59">
        <v>0</v>
      </c>
      <c r="Q55" s="25">
        <f t="shared" si="6"/>
        <v>21338167.199315354</v>
      </c>
      <c r="R55" s="65">
        <f t="shared" si="3"/>
        <v>21021165.121914245</v>
      </c>
      <c r="S55" s="25">
        <f t="shared" si="4"/>
        <v>-407926.05880865082</v>
      </c>
      <c r="T55" s="38">
        <f t="shared" si="5"/>
        <v>1.8758590518609862E-2</v>
      </c>
      <c r="AG55" s="2"/>
      <c r="AK55" s="2"/>
      <c r="AO55" s="2"/>
      <c r="AP55" s="57"/>
      <c r="AQ55" s="5"/>
      <c r="AR55" s="5"/>
      <c r="AS55" s="2"/>
      <c r="AT55" s="57"/>
      <c r="AU55" s="5"/>
      <c r="AV55" s="5"/>
      <c r="AW55" s="23"/>
      <c r="AX55" s="23"/>
    </row>
    <row r="56" spans="1:50">
      <c r="A56" s="2">
        <v>42156</v>
      </c>
      <c r="B56">
        <f t="shared" si="1"/>
        <v>2015</v>
      </c>
      <c r="C56">
        <f t="shared" si="2"/>
        <v>6</v>
      </c>
      <c r="D56" s="69">
        <v>24790300.809638564</v>
      </c>
      <c r="E56" s="69">
        <v>317002.07740110968</v>
      </c>
      <c r="F56" s="69">
        <v>25107302.887039673</v>
      </c>
      <c r="G56" s="63">
        <v>14.299999999999999</v>
      </c>
      <c r="H56" s="63">
        <v>72.800000000000011</v>
      </c>
      <c r="I56" s="66">
        <f t="shared" si="9"/>
        <v>6.5805263157894842</v>
      </c>
      <c r="J56" s="66">
        <f t="shared" si="9"/>
        <v>122.87210526315789</v>
      </c>
      <c r="K56" s="25">
        <v>30</v>
      </c>
      <c r="L56" s="25">
        <v>0</v>
      </c>
      <c r="M56" s="25">
        <v>0</v>
      </c>
      <c r="N56" s="30">
        <v>32729</v>
      </c>
      <c r="O56" s="87">
        <v>0</v>
      </c>
      <c r="P56" s="59">
        <v>0</v>
      </c>
      <c r="Q56" s="25">
        <f t="shared" si="6"/>
        <v>27658613.25098661</v>
      </c>
      <c r="R56" s="65">
        <f t="shared" si="3"/>
        <v>27341611.173585501</v>
      </c>
      <c r="S56" s="25">
        <f t="shared" si="4"/>
        <v>2551310.363946937</v>
      </c>
      <c r="T56" s="38">
        <f t="shared" si="5"/>
        <v>0.10161626581021242</v>
      </c>
      <c r="AG56" s="2"/>
      <c r="AK56" s="2"/>
      <c r="AO56" s="2"/>
      <c r="AP56" s="57"/>
      <c r="AQ56" s="5"/>
      <c r="AR56" s="5"/>
      <c r="AS56" s="2"/>
      <c r="AT56" s="57"/>
      <c r="AU56" s="5"/>
      <c r="AV56" s="5"/>
      <c r="AW56" s="23"/>
      <c r="AX56" s="23"/>
    </row>
    <row r="57" spans="1:50">
      <c r="A57" s="2">
        <v>42186</v>
      </c>
      <c r="B57">
        <f t="shared" si="1"/>
        <v>2015</v>
      </c>
      <c r="C57">
        <f t="shared" si="2"/>
        <v>7</v>
      </c>
      <c r="D57" s="69">
        <v>31635963.15180723</v>
      </c>
      <c r="E57" s="69">
        <v>317002.07740110968</v>
      </c>
      <c r="F57" s="69">
        <v>31952965.229208339</v>
      </c>
      <c r="G57" s="63">
        <v>0</v>
      </c>
      <c r="H57" s="63">
        <v>172.30000000000004</v>
      </c>
      <c r="I57" s="66">
        <f t="shared" si="9"/>
        <v>0</v>
      </c>
      <c r="J57" s="66">
        <f t="shared" si="9"/>
        <v>211.7568421052631</v>
      </c>
      <c r="K57" s="25">
        <v>31</v>
      </c>
      <c r="L57" s="25">
        <v>0</v>
      </c>
      <c r="M57" s="25">
        <v>0</v>
      </c>
      <c r="N57" s="30">
        <v>32779</v>
      </c>
      <c r="O57" s="87">
        <v>0</v>
      </c>
      <c r="P57" s="59">
        <v>0</v>
      </c>
      <c r="Q57" s="25">
        <f t="shared" si="6"/>
        <v>34009867.520277463</v>
      </c>
      <c r="R57" s="65">
        <f t="shared" si="3"/>
        <v>33692865.442876354</v>
      </c>
      <c r="S57" s="25">
        <f t="shared" si="4"/>
        <v>2056902.2910691239</v>
      </c>
      <c r="T57" s="38">
        <f t="shared" si="5"/>
        <v>6.4372814113317439E-2</v>
      </c>
      <c r="AG57" s="2"/>
      <c r="AK57" s="2"/>
      <c r="AO57" s="2"/>
      <c r="AP57" s="57"/>
      <c r="AQ57" s="5"/>
      <c r="AR57" s="5"/>
      <c r="AS57" s="2"/>
      <c r="AT57" s="57"/>
      <c r="AU57" s="5"/>
      <c r="AV57" s="5"/>
      <c r="AW57" s="23"/>
      <c r="AX57" s="23"/>
    </row>
    <row r="58" spans="1:50">
      <c r="A58" s="2">
        <v>42217</v>
      </c>
      <c r="B58">
        <f t="shared" si="1"/>
        <v>2015</v>
      </c>
      <c r="C58">
        <f t="shared" si="2"/>
        <v>8</v>
      </c>
      <c r="D58" s="69">
        <v>29263075.190361433</v>
      </c>
      <c r="E58" s="69">
        <v>317002.07740110968</v>
      </c>
      <c r="F58" s="69">
        <v>29580077.267762542</v>
      </c>
      <c r="G58" s="63">
        <v>0</v>
      </c>
      <c r="H58" s="63">
        <v>146.20000000000002</v>
      </c>
      <c r="I58" s="66">
        <f t="shared" si="9"/>
        <v>0.34105263157894772</v>
      </c>
      <c r="J58" s="66">
        <f t="shared" si="9"/>
        <v>191.39947368421053</v>
      </c>
      <c r="K58" s="25">
        <v>31</v>
      </c>
      <c r="L58" s="25">
        <v>0</v>
      </c>
      <c r="M58" s="25">
        <v>0</v>
      </c>
      <c r="N58" s="30">
        <v>32817</v>
      </c>
      <c r="O58" s="87">
        <v>0</v>
      </c>
      <c r="P58" s="59">
        <v>0</v>
      </c>
      <c r="Q58" s="25">
        <f t="shared" si="6"/>
        <v>31938950.784987357</v>
      </c>
      <c r="R58" s="65">
        <f t="shared" si="3"/>
        <v>31621948.707586247</v>
      </c>
      <c r="S58" s="25">
        <f t="shared" si="4"/>
        <v>2358873.5172248147</v>
      </c>
      <c r="T58" s="38">
        <f t="shared" si="5"/>
        <v>7.974534670318803E-2</v>
      </c>
      <c r="AG58" s="2"/>
      <c r="AK58" s="2"/>
      <c r="AO58" s="2"/>
      <c r="AP58" s="57"/>
      <c r="AQ58" s="5"/>
      <c r="AR58" s="5"/>
      <c r="AS58" s="2"/>
      <c r="AT58" s="57"/>
      <c r="AU58" s="5"/>
      <c r="AV58" s="5"/>
      <c r="AW58" s="23"/>
      <c r="AX58" s="23"/>
    </row>
    <row r="59" spans="1:50">
      <c r="A59" s="2">
        <v>42248</v>
      </c>
      <c r="B59">
        <f t="shared" si="1"/>
        <v>2015</v>
      </c>
      <c r="C59">
        <f t="shared" si="2"/>
        <v>9</v>
      </c>
      <c r="D59" s="69">
        <v>26291769.465060253</v>
      </c>
      <c r="E59" s="69">
        <v>317002.07740110968</v>
      </c>
      <c r="F59" s="69">
        <v>26608771.542461362</v>
      </c>
      <c r="G59" s="63">
        <v>12.9</v>
      </c>
      <c r="H59" s="63">
        <v>123.69999999999999</v>
      </c>
      <c r="I59" s="66">
        <f t="shared" si="9"/>
        <v>26.567368421052606</v>
      </c>
      <c r="J59" s="66">
        <f t="shared" si="9"/>
        <v>77.107368421052627</v>
      </c>
      <c r="K59" s="25">
        <v>30</v>
      </c>
      <c r="L59" s="25">
        <v>1</v>
      </c>
      <c r="M59" s="25">
        <v>1</v>
      </c>
      <c r="N59" s="30">
        <v>32876</v>
      </c>
      <c r="O59" s="87">
        <v>0</v>
      </c>
      <c r="P59" s="59">
        <v>0</v>
      </c>
      <c r="Q59" s="25">
        <f t="shared" si="6"/>
        <v>24284284.496828977</v>
      </c>
      <c r="R59" s="65">
        <f t="shared" si="3"/>
        <v>23967282.419427868</v>
      </c>
      <c r="S59" s="25">
        <f t="shared" si="4"/>
        <v>-2324487.0456323847</v>
      </c>
      <c r="T59" s="38">
        <f t="shared" si="5"/>
        <v>8.7357924131260561E-2</v>
      </c>
      <c r="AG59" s="2"/>
      <c r="AK59" s="2"/>
      <c r="AO59" s="2"/>
      <c r="AP59" s="57"/>
      <c r="AQ59" s="5"/>
      <c r="AR59" s="5"/>
      <c r="AS59" s="2"/>
      <c r="AT59" s="57"/>
      <c r="AU59" s="5"/>
      <c r="AV59" s="5"/>
      <c r="AW59" s="23"/>
      <c r="AX59" s="23"/>
    </row>
    <row r="60" spans="1:50">
      <c r="A60" s="2">
        <v>42278</v>
      </c>
      <c r="B60">
        <f t="shared" si="1"/>
        <v>2015</v>
      </c>
      <c r="C60">
        <f t="shared" si="2"/>
        <v>10</v>
      </c>
      <c r="D60" s="69">
        <v>21166911.199999988</v>
      </c>
      <c r="E60" s="69">
        <v>317002.07740110968</v>
      </c>
      <c r="F60" s="69">
        <v>21483913.277401097</v>
      </c>
      <c r="G60" s="63">
        <v>190.60000000000002</v>
      </c>
      <c r="H60" s="63">
        <v>2.7999999999999972</v>
      </c>
      <c r="I60" s="66">
        <f t="shared" si="9"/>
        <v>154.52315789473778</v>
      </c>
      <c r="J60" s="66">
        <f t="shared" si="9"/>
        <v>10.628421052631595</v>
      </c>
      <c r="K60" s="25">
        <v>31</v>
      </c>
      <c r="L60" s="25">
        <v>1</v>
      </c>
      <c r="M60" s="25">
        <v>0</v>
      </c>
      <c r="N60" s="30">
        <v>32908</v>
      </c>
      <c r="O60" s="87">
        <v>0</v>
      </c>
      <c r="P60" s="59">
        <v>0</v>
      </c>
      <c r="Q60" s="25">
        <f t="shared" si="6"/>
        <v>21616415.938199703</v>
      </c>
      <c r="R60" s="65">
        <f t="shared" si="3"/>
        <v>21299413.860798594</v>
      </c>
      <c r="S60" s="25">
        <f t="shared" si="4"/>
        <v>132502.66079860553</v>
      </c>
      <c r="T60" s="38">
        <f t="shared" si="5"/>
        <v>6.1675291222658638E-3</v>
      </c>
      <c r="AG60" s="2"/>
      <c r="AK60" s="2"/>
      <c r="AO60" s="2"/>
      <c r="AP60" s="57"/>
      <c r="AQ60" s="5"/>
      <c r="AR60" s="5"/>
      <c r="AS60" s="2"/>
      <c r="AT60" s="57"/>
      <c r="AU60" s="5"/>
      <c r="AV60" s="5"/>
      <c r="AW60" s="23"/>
      <c r="AX60" s="23"/>
    </row>
    <row r="61" spans="1:50">
      <c r="A61" s="2">
        <v>42309</v>
      </c>
      <c r="B61">
        <f t="shared" si="1"/>
        <v>2015</v>
      </c>
      <c r="C61">
        <f t="shared" si="2"/>
        <v>11</v>
      </c>
      <c r="D61" s="69">
        <v>19417085.089156609</v>
      </c>
      <c r="E61" s="69">
        <v>317002.07740110968</v>
      </c>
      <c r="F61" s="69">
        <v>19734087.166557718</v>
      </c>
      <c r="G61" s="63">
        <v>285</v>
      </c>
      <c r="H61" s="63">
        <v>0</v>
      </c>
      <c r="I61" s="66">
        <f t="shared" si="9"/>
        <v>363.9931578947369</v>
      </c>
      <c r="J61" s="66">
        <f t="shared" si="9"/>
        <v>1.8421052631579116E-2</v>
      </c>
      <c r="K61" s="25">
        <v>30</v>
      </c>
      <c r="L61" s="25">
        <v>1</v>
      </c>
      <c r="M61" s="25">
        <v>0</v>
      </c>
      <c r="N61" s="30">
        <v>32947</v>
      </c>
      <c r="O61" s="87">
        <v>0</v>
      </c>
      <c r="P61" s="59">
        <v>0</v>
      </c>
      <c r="Q61" s="25">
        <f t="shared" si="6"/>
        <v>20338487.860981923</v>
      </c>
      <c r="R61" s="65">
        <f t="shared" si="3"/>
        <v>20021485.783580814</v>
      </c>
      <c r="S61" s="25">
        <f t="shared" si="4"/>
        <v>604400.69442420453</v>
      </c>
      <c r="T61" s="38">
        <f t="shared" si="5"/>
        <v>3.0627243577217467E-2</v>
      </c>
      <c r="AG61" s="2"/>
      <c r="AP61" s="5"/>
      <c r="AQ61" s="5"/>
      <c r="AR61" s="5"/>
      <c r="AS61" s="5"/>
      <c r="AT61" s="5"/>
      <c r="AU61" s="5"/>
      <c r="AW61" s="23"/>
      <c r="AX61" s="23"/>
    </row>
    <row r="62" spans="1:50">
      <c r="A62" s="2">
        <v>42339</v>
      </c>
      <c r="B62">
        <f t="shared" si="1"/>
        <v>2015</v>
      </c>
      <c r="C62">
        <f t="shared" si="2"/>
        <v>12</v>
      </c>
      <c r="D62" s="69">
        <v>23283597.985542178</v>
      </c>
      <c r="E62" s="69">
        <v>317002.07740110968</v>
      </c>
      <c r="F62" s="69">
        <v>23600600.062943287</v>
      </c>
      <c r="G62" s="63">
        <v>367.70000000000005</v>
      </c>
      <c r="H62" s="63">
        <v>0</v>
      </c>
      <c r="I62" s="66">
        <f t="shared" si="9"/>
        <v>499.7842105263162</v>
      </c>
      <c r="J62" s="66">
        <f t="shared" si="9"/>
        <v>0</v>
      </c>
      <c r="K62" s="25">
        <v>31</v>
      </c>
      <c r="L62" s="25">
        <v>0</v>
      </c>
      <c r="M62" s="25">
        <v>0</v>
      </c>
      <c r="N62" s="30">
        <v>33001</v>
      </c>
      <c r="O62" s="87">
        <v>0</v>
      </c>
      <c r="P62" s="59">
        <v>0</v>
      </c>
      <c r="Q62" s="25">
        <f t="shared" si="6"/>
        <v>24609610.850163013</v>
      </c>
      <c r="R62" s="65">
        <f t="shared" si="3"/>
        <v>24292608.772761904</v>
      </c>
      <c r="S62" s="25">
        <f t="shared" si="4"/>
        <v>1009010.7872197255</v>
      </c>
      <c r="T62" s="38">
        <f t="shared" si="5"/>
        <v>4.2753607303571646E-2</v>
      </c>
      <c r="AG62" s="2"/>
      <c r="AP62" s="5"/>
      <c r="AQ62" s="5"/>
      <c r="AR62" s="5"/>
      <c r="AS62" s="5"/>
      <c r="AT62" s="5"/>
    </row>
    <row r="63" spans="1:50">
      <c r="A63" s="2">
        <v>42370</v>
      </c>
      <c r="B63">
        <f t="shared" si="1"/>
        <v>2016</v>
      </c>
      <c r="C63">
        <f t="shared" si="2"/>
        <v>1</v>
      </c>
      <c r="D63" s="69">
        <v>25985111.093975894</v>
      </c>
      <c r="E63" s="69">
        <v>503439.62575630058</v>
      </c>
      <c r="F63" s="69">
        <v>26488550.719732195</v>
      </c>
      <c r="G63" s="63">
        <v>608.4</v>
      </c>
      <c r="H63" s="63">
        <v>0</v>
      </c>
      <c r="I63" s="66">
        <f t="shared" si="9"/>
        <v>619.82052631578927</v>
      </c>
      <c r="J63" s="66">
        <f t="shared" si="9"/>
        <v>0</v>
      </c>
      <c r="K63" s="25">
        <v>31</v>
      </c>
      <c r="L63" s="25">
        <v>0</v>
      </c>
      <c r="M63" s="25">
        <v>0</v>
      </c>
      <c r="N63" s="30">
        <v>33068</v>
      </c>
      <c r="O63" s="87">
        <v>0</v>
      </c>
      <c r="P63" s="59">
        <v>0</v>
      </c>
      <c r="Q63" s="25">
        <f t="shared" si="6"/>
        <v>26575793.806566276</v>
      </c>
      <c r="R63" s="65">
        <f t="shared" si="3"/>
        <v>26072354.180809975</v>
      </c>
      <c r="S63" s="25">
        <f t="shared" si="4"/>
        <v>87243.086834080517</v>
      </c>
      <c r="T63" s="38">
        <f t="shared" si="5"/>
        <v>3.2936149567854714E-3</v>
      </c>
    </row>
    <row r="64" spans="1:50">
      <c r="A64" s="2">
        <v>42401</v>
      </c>
      <c r="B64">
        <f t="shared" si="1"/>
        <v>2016</v>
      </c>
      <c r="C64">
        <f t="shared" si="2"/>
        <v>2</v>
      </c>
      <c r="D64" s="69">
        <v>24520177.522891562</v>
      </c>
      <c r="E64" s="69">
        <v>503439.62575630058</v>
      </c>
      <c r="F64" s="69">
        <v>25023617.148647863</v>
      </c>
      <c r="G64" s="63">
        <v>530.40000000000009</v>
      </c>
      <c r="H64" s="63">
        <v>0</v>
      </c>
      <c r="I64" s="66">
        <f t="shared" si="9"/>
        <v>570.53578947368419</v>
      </c>
      <c r="J64" s="66">
        <f t="shared" si="9"/>
        <v>0</v>
      </c>
      <c r="K64" s="25">
        <v>29</v>
      </c>
      <c r="L64" s="25">
        <v>0</v>
      </c>
      <c r="M64" s="25">
        <v>0</v>
      </c>
      <c r="N64" s="30">
        <v>33176</v>
      </c>
      <c r="O64" s="87">
        <v>0</v>
      </c>
      <c r="P64" s="59">
        <v>0</v>
      </c>
      <c r="Q64" s="25">
        <f t="shared" si="6"/>
        <v>25330220.370722305</v>
      </c>
      <c r="R64" s="65">
        <f t="shared" si="3"/>
        <v>24826780.744966004</v>
      </c>
      <c r="S64" s="25">
        <f t="shared" si="4"/>
        <v>306603.22207444161</v>
      </c>
      <c r="T64" s="38">
        <f t="shared" si="5"/>
        <v>1.2252554067348683E-2</v>
      </c>
    </row>
    <row r="65" spans="1:34">
      <c r="A65" s="2">
        <v>42430</v>
      </c>
      <c r="B65">
        <f t="shared" si="1"/>
        <v>2016</v>
      </c>
      <c r="C65">
        <f t="shared" si="2"/>
        <v>3</v>
      </c>
      <c r="D65" s="69">
        <v>22958336.693975914</v>
      </c>
      <c r="E65" s="69">
        <v>503439.62575630058</v>
      </c>
      <c r="F65" s="69">
        <v>23461776.319732215</v>
      </c>
      <c r="G65" s="63">
        <v>414.0999999999998</v>
      </c>
      <c r="H65" s="63">
        <v>0</v>
      </c>
      <c r="I65" s="66">
        <f t="shared" si="9"/>
        <v>461.49315789473712</v>
      </c>
      <c r="J65" s="66">
        <f t="shared" si="9"/>
        <v>0.17368421052631611</v>
      </c>
      <c r="K65" s="25">
        <v>31</v>
      </c>
      <c r="L65" s="25">
        <v>1</v>
      </c>
      <c r="M65" s="25">
        <v>0</v>
      </c>
      <c r="N65" s="30">
        <v>33263</v>
      </c>
      <c r="O65" s="87">
        <v>0</v>
      </c>
      <c r="P65" s="59">
        <v>0</v>
      </c>
      <c r="Q65" s="25">
        <f t="shared" si="6"/>
        <v>23832873.883988351</v>
      </c>
      <c r="R65" s="65">
        <f t="shared" si="3"/>
        <v>23329434.25823205</v>
      </c>
      <c r="S65" s="25">
        <f t="shared" si="4"/>
        <v>371097.56425613537</v>
      </c>
      <c r="T65" s="38">
        <f t="shared" si="5"/>
        <v>1.5817112873249443E-2</v>
      </c>
    </row>
    <row r="66" spans="1:34">
      <c r="A66" s="2">
        <v>42461</v>
      </c>
      <c r="B66">
        <f t="shared" si="1"/>
        <v>2016</v>
      </c>
      <c r="C66">
        <f t="shared" si="2"/>
        <v>4</v>
      </c>
      <c r="D66" s="69">
        <v>21632719.643373489</v>
      </c>
      <c r="E66" s="69">
        <v>503439.62575630058</v>
      </c>
      <c r="F66" s="69">
        <v>22136159.26912979</v>
      </c>
      <c r="G66" s="63">
        <v>335.1</v>
      </c>
      <c r="H66" s="63">
        <v>0.30000000000000071</v>
      </c>
      <c r="I66" s="66">
        <f t="shared" si="9"/>
        <v>285.02368421052643</v>
      </c>
      <c r="J66" s="66">
        <f t="shared" si="9"/>
        <v>0</v>
      </c>
      <c r="K66" s="25">
        <v>30</v>
      </c>
      <c r="L66" s="25">
        <v>1</v>
      </c>
      <c r="M66" s="25">
        <v>0</v>
      </c>
      <c r="N66" s="30">
        <v>33437</v>
      </c>
      <c r="O66" s="87">
        <v>0</v>
      </c>
      <c r="P66" s="59">
        <v>0</v>
      </c>
      <c r="Q66" s="25">
        <f t="shared" si="6"/>
        <v>21737979.768644322</v>
      </c>
      <c r="R66" s="65">
        <f t="shared" si="3"/>
        <v>21234540.142888021</v>
      </c>
      <c r="S66" s="25">
        <f t="shared" si="4"/>
        <v>-398179.50048546866</v>
      </c>
      <c r="T66" s="38">
        <f t="shared" si="5"/>
        <v>1.7987741036935616E-2</v>
      </c>
    </row>
    <row r="67" spans="1:34">
      <c r="A67" s="2">
        <v>42491</v>
      </c>
      <c r="B67">
        <f t="shared" si="1"/>
        <v>2016</v>
      </c>
      <c r="C67">
        <f t="shared" si="2"/>
        <v>5</v>
      </c>
      <c r="D67" s="69">
        <v>20564699.585542157</v>
      </c>
      <c r="E67" s="69">
        <v>503439.62575630058</v>
      </c>
      <c r="F67" s="69">
        <v>21068139.211298458</v>
      </c>
      <c r="G67" s="63">
        <v>102.19999999999999</v>
      </c>
      <c r="H67" s="63">
        <v>58.6</v>
      </c>
      <c r="I67" s="66">
        <f t="shared" ref="I67:J82" si="10">I79</f>
        <v>92.127894736842109</v>
      </c>
      <c r="J67" s="66">
        <f t="shared" si="10"/>
        <v>50.712631578947821</v>
      </c>
      <c r="K67" s="25">
        <v>31</v>
      </c>
      <c r="L67" s="25">
        <v>1</v>
      </c>
      <c r="M67" s="25">
        <v>0</v>
      </c>
      <c r="N67" s="30">
        <v>33518</v>
      </c>
      <c r="O67" s="87">
        <v>0</v>
      </c>
      <c r="P67" s="59">
        <v>0</v>
      </c>
      <c r="Q67" s="25">
        <f t="shared" si="6"/>
        <v>20580024.975508679</v>
      </c>
      <c r="R67" s="65">
        <f t="shared" si="3"/>
        <v>20076585.349752378</v>
      </c>
      <c r="S67" s="25">
        <f t="shared" si="4"/>
        <v>-488114.23578977957</v>
      </c>
      <c r="T67" s="38">
        <f t="shared" si="5"/>
        <v>2.3168360095513933E-2</v>
      </c>
    </row>
    <row r="68" spans="1:34">
      <c r="A68" s="2">
        <v>42522</v>
      </c>
      <c r="B68">
        <f t="shared" ref="B68:B131" si="11">YEAR(A68)</f>
        <v>2016</v>
      </c>
      <c r="C68">
        <f t="shared" ref="C68:C131" si="12">MONTH(A68)</f>
        <v>6</v>
      </c>
      <c r="D68" s="69">
        <v>29990486.101204813</v>
      </c>
      <c r="E68" s="69">
        <v>503439.62575630058</v>
      </c>
      <c r="F68" s="69">
        <v>30493925.726961114</v>
      </c>
      <c r="G68" s="63">
        <v>9.1999999999999993</v>
      </c>
      <c r="H68" s="63">
        <v>128.70000000000002</v>
      </c>
      <c r="I68" s="66">
        <f t="shared" si="10"/>
        <v>6.5805263157894842</v>
      </c>
      <c r="J68" s="66">
        <f t="shared" si="10"/>
        <v>122.87210526315789</v>
      </c>
      <c r="K68" s="25">
        <v>30</v>
      </c>
      <c r="L68" s="25">
        <v>0</v>
      </c>
      <c r="M68" s="25">
        <v>0</v>
      </c>
      <c r="N68" s="30">
        <v>33555</v>
      </c>
      <c r="O68" s="87">
        <v>0</v>
      </c>
      <c r="P68" s="59">
        <v>0</v>
      </c>
      <c r="Q68" s="25">
        <f t="shared" si="6"/>
        <v>30170104.500563119</v>
      </c>
      <c r="R68" s="65">
        <f t="shared" ref="R68:R131" si="13">Q68-E68</f>
        <v>29666664.874806818</v>
      </c>
      <c r="S68" s="25">
        <f t="shared" ref="S68:S131" si="14">+Q68-F68</f>
        <v>-323821.22639799491</v>
      </c>
      <c r="T68" s="38">
        <f t="shared" ref="T68:T131" si="15">ABS(S68/F68)</f>
        <v>1.0619204273580601E-2</v>
      </c>
      <c r="AG68"/>
      <c r="AH68"/>
    </row>
    <row r="69" spans="1:34">
      <c r="A69" s="2">
        <v>42552</v>
      </c>
      <c r="B69">
        <f t="shared" si="11"/>
        <v>2016</v>
      </c>
      <c r="C69">
        <f t="shared" si="12"/>
        <v>7</v>
      </c>
      <c r="D69" s="69">
        <v>35728630.342168637</v>
      </c>
      <c r="E69" s="69">
        <v>503439.62575630058</v>
      </c>
      <c r="F69" s="69">
        <v>36232069.967924938</v>
      </c>
      <c r="G69" s="63">
        <v>0</v>
      </c>
      <c r="H69" s="63">
        <v>238.9</v>
      </c>
      <c r="I69" s="66">
        <f t="shared" si="10"/>
        <v>0</v>
      </c>
      <c r="J69" s="66">
        <f t="shared" si="10"/>
        <v>211.7568421052631</v>
      </c>
      <c r="K69" s="25">
        <v>31</v>
      </c>
      <c r="L69" s="25">
        <v>0</v>
      </c>
      <c r="M69" s="25">
        <v>0</v>
      </c>
      <c r="N69" s="30">
        <v>33585</v>
      </c>
      <c r="O69" s="87">
        <v>0</v>
      </c>
      <c r="P69" s="59">
        <v>0</v>
      </c>
      <c r="Q69" s="25">
        <f t="shared" si="6"/>
        <v>34817085.37509843</v>
      </c>
      <c r="R69" s="65">
        <f t="shared" si="13"/>
        <v>34313645.749342129</v>
      </c>
      <c r="S69" s="25">
        <f t="shared" si="14"/>
        <v>-1414984.592826508</v>
      </c>
      <c r="T69" s="38">
        <f t="shared" si="15"/>
        <v>3.9053374374667181E-2</v>
      </c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</row>
    <row r="70" spans="1:34">
      <c r="A70" s="2">
        <v>42583</v>
      </c>
      <c r="B70">
        <f t="shared" si="11"/>
        <v>2016</v>
      </c>
      <c r="C70">
        <f t="shared" si="12"/>
        <v>8</v>
      </c>
      <c r="D70" s="69">
        <v>36163152.231325291</v>
      </c>
      <c r="E70" s="69">
        <v>503439.62575630058</v>
      </c>
      <c r="F70" s="69">
        <v>36666591.857081592</v>
      </c>
      <c r="G70" s="63">
        <v>0</v>
      </c>
      <c r="H70" s="63">
        <v>257.40000000000003</v>
      </c>
      <c r="I70" s="66">
        <f t="shared" si="10"/>
        <v>0.34105263157894772</v>
      </c>
      <c r="J70" s="66">
        <f t="shared" si="10"/>
        <v>191.39947368421053</v>
      </c>
      <c r="K70" s="25">
        <v>31</v>
      </c>
      <c r="L70" s="25">
        <v>0</v>
      </c>
      <c r="M70" s="25">
        <v>0</v>
      </c>
      <c r="N70" s="30">
        <v>33654</v>
      </c>
      <c r="O70" s="87">
        <v>0</v>
      </c>
      <c r="P70" s="59">
        <v>0</v>
      </c>
      <c r="Q70" s="25">
        <f t="shared" ref="Q70:Q133" si="16">F70+(I70-G70)*$V$19+(J70-H70)*$V$20</f>
        <v>33228561.147741921</v>
      </c>
      <c r="R70" s="65">
        <f t="shared" si="13"/>
        <v>32725121.52198562</v>
      </c>
      <c r="S70" s="25">
        <f t="shared" si="14"/>
        <v>-3438030.7093396708</v>
      </c>
      <c r="T70" s="38">
        <f t="shared" si="15"/>
        <v>9.3764665195510064E-2</v>
      </c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</row>
    <row r="71" spans="1:34">
      <c r="A71" s="2">
        <v>42614</v>
      </c>
      <c r="B71">
        <f t="shared" si="11"/>
        <v>2016</v>
      </c>
      <c r="C71">
        <f t="shared" si="12"/>
        <v>9</v>
      </c>
      <c r="D71" s="69">
        <v>26948392.906024113</v>
      </c>
      <c r="E71" s="69">
        <v>503439.62575630058</v>
      </c>
      <c r="F71" s="69">
        <v>27451832.531780414</v>
      </c>
      <c r="G71" s="63">
        <v>8.3999999999999986</v>
      </c>
      <c r="H71" s="63">
        <v>111.89999999999999</v>
      </c>
      <c r="I71" s="66">
        <f t="shared" si="10"/>
        <v>26.567368421052606</v>
      </c>
      <c r="J71" s="66">
        <f t="shared" si="10"/>
        <v>77.107368421052627</v>
      </c>
      <c r="K71" s="25">
        <v>30</v>
      </c>
      <c r="L71" s="25">
        <v>1</v>
      </c>
      <c r="M71" s="25">
        <v>1</v>
      </c>
      <c r="N71" s="30">
        <v>33716</v>
      </c>
      <c r="O71" s="87">
        <v>0</v>
      </c>
      <c r="P71" s="59">
        <v>0</v>
      </c>
      <c r="Q71" s="25">
        <f t="shared" si="16"/>
        <v>25776860.768166542</v>
      </c>
      <c r="R71" s="65">
        <f t="shared" si="13"/>
        <v>25273421.142410241</v>
      </c>
      <c r="S71" s="25">
        <f t="shared" si="14"/>
        <v>-1674971.7636138722</v>
      </c>
      <c r="T71" s="38">
        <f t="shared" si="15"/>
        <v>6.1014934492070516E-2</v>
      </c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</row>
    <row r="72" spans="1:34">
      <c r="A72" s="2">
        <v>42644</v>
      </c>
      <c r="B72">
        <f t="shared" si="11"/>
        <v>2016</v>
      </c>
      <c r="C72">
        <f t="shared" si="12"/>
        <v>10</v>
      </c>
      <c r="D72" s="69">
        <v>19412813.638554234</v>
      </c>
      <c r="E72" s="69">
        <v>503439.62575630058</v>
      </c>
      <c r="F72" s="69">
        <v>19916253.264310535</v>
      </c>
      <c r="G72" s="63">
        <v>144.70000000000002</v>
      </c>
      <c r="H72" s="63">
        <v>16.600000000000005</v>
      </c>
      <c r="I72" s="66">
        <f t="shared" si="10"/>
        <v>154.52315789473778</v>
      </c>
      <c r="J72" s="66">
        <f t="shared" si="10"/>
        <v>10.628421052631595</v>
      </c>
      <c r="K72" s="25">
        <v>31</v>
      </c>
      <c r="L72" s="25">
        <v>1</v>
      </c>
      <c r="M72" s="25">
        <v>0</v>
      </c>
      <c r="N72" s="30">
        <v>33751</v>
      </c>
      <c r="O72" s="87">
        <v>0</v>
      </c>
      <c r="P72" s="59">
        <v>0</v>
      </c>
      <c r="Q72" s="25">
        <f t="shared" si="16"/>
        <v>19679992.81756229</v>
      </c>
      <c r="R72" s="65">
        <f t="shared" si="13"/>
        <v>19176553.191805989</v>
      </c>
      <c r="S72" s="25">
        <f t="shared" si="14"/>
        <v>-236260.44674824551</v>
      </c>
      <c r="T72" s="38">
        <f t="shared" si="15"/>
        <v>1.1862695438384425E-2</v>
      </c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</row>
    <row r="73" spans="1:34">
      <c r="A73" s="2">
        <v>42675</v>
      </c>
      <c r="B73">
        <f t="shared" si="11"/>
        <v>2016</v>
      </c>
      <c r="C73">
        <f t="shared" si="12"/>
        <v>11</v>
      </c>
      <c r="D73" s="69">
        <v>19369741.908433728</v>
      </c>
      <c r="E73" s="69">
        <v>503439.62575630058</v>
      </c>
      <c r="F73" s="69">
        <v>19873181.534190029</v>
      </c>
      <c r="G73" s="63">
        <v>277.79999999999995</v>
      </c>
      <c r="H73" s="63">
        <v>0</v>
      </c>
      <c r="I73" s="66">
        <f t="shared" si="10"/>
        <v>363.9931578947369</v>
      </c>
      <c r="J73" s="66">
        <f t="shared" si="10"/>
        <v>1.8421052631579116E-2</v>
      </c>
      <c r="K73" s="25">
        <v>30</v>
      </c>
      <c r="L73" s="25">
        <v>1</v>
      </c>
      <c r="M73" s="25">
        <v>0</v>
      </c>
      <c r="N73" s="30">
        <v>33815</v>
      </c>
      <c r="O73" s="87">
        <v>0</v>
      </c>
      <c r="P73" s="59">
        <v>0</v>
      </c>
      <c r="Q73" s="25">
        <f t="shared" si="16"/>
        <v>20532584.09173651</v>
      </c>
      <c r="R73" s="65">
        <f t="shared" si="13"/>
        <v>20029144.465980209</v>
      </c>
      <c r="S73" s="25">
        <f t="shared" si="14"/>
        <v>659402.55754648149</v>
      </c>
      <c r="T73" s="38">
        <f t="shared" si="15"/>
        <v>3.3180523028586963E-2</v>
      </c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</row>
    <row r="74" spans="1:34">
      <c r="A74" s="2">
        <v>42705</v>
      </c>
      <c r="B74">
        <f t="shared" si="11"/>
        <v>2016</v>
      </c>
      <c r="C74">
        <f t="shared" si="12"/>
        <v>12</v>
      </c>
      <c r="D74" s="69">
        <v>27474754.322891567</v>
      </c>
      <c r="E74" s="69">
        <v>503439.62575630058</v>
      </c>
      <c r="F74" s="69">
        <v>27978193.948647868</v>
      </c>
      <c r="G74" s="63">
        <v>545.99999999999989</v>
      </c>
      <c r="H74" s="63">
        <v>0</v>
      </c>
      <c r="I74" s="66">
        <f t="shared" si="10"/>
        <v>499.7842105263162</v>
      </c>
      <c r="J74" s="66">
        <f t="shared" si="10"/>
        <v>0</v>
      </c>
      <c r="K74" s="25">
        <v>31</v>
      </c>
      <c r="L74" s="25">
        <v>0</v>
      </c>
      <c r="M74" s="25">
        <v>0</v>
      </c>
      <c r="N74" s="30">
        <v>33857</v>
      </c>
      <c r="O74" s="87">
        <v>0</v>
      </c>
      <c r="P74" s="59">
        <v>0</v>
      </c>
      <c r="Q74" s="25">
        <f t="shared" si="16"/>
        <v>27625144.708825734</v>
      </c>
      <c r="R74" s="65">
        <f t="shared" si="13"/>
        <v>27121705.083069433</v>
      </c>
      <c r="S74" s="25">
        <f t="shared" si="14"/>
        <v>-353049.23982213438</v>
      </c>
      <c r="T74" s="38">
        <f t="shared" si="15"/>
        <v>1.2618728731030066E-2</v>
      </c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>
      <c r="A75" s="2">
        <v>42736</v>
      </c>
      <c r="B75">
        <f t="shared" si="11"/>
        <v>2017</v>
      </c>
      <c r="C75">
        <f t="shared" si="12"/>
        <v>1</v>
      </c>
      <c r="D75" s="69">
        <v>26135142.110843364</v>
      </c>
      <c r="E75" s="69">
        <v>958479.98780037428</v>
      </c>
      <c r="F75" s="69">
        <v>27093622.098643739</v>
      </c>
      <c r="G75" s="63">
        <v>546.9</v>
      </c>
      <c r="H75" s="63">
        <v>0</v>
      </c>
      <c r="I75" s="66">
        <f t="shared" si="10"/>
        <v>619.82052631578927</v>
      </c>
      <c r="J75" s="66">
        <f t="shared" si="10"/>
        <v>0</v>
      </c>
      <c r="K75" s="25">
        <v>31</v>
      </c>
      <c r="L75" s="25">
        <v>0</v>
      </c>
      <c r="M75" s="25">
        <v>0</v>
      </c>
      <c r="N75" s="30">
        <v>33886</v>
      </c>
      <c r="O75" s="87">
        <v>0</v>
      </c>
      <c r="P75" s="59">
        <v>0</v>
      </c>
      <c r="Q75" s="25">
        <f t="shared" si="16"/>
        <v>27650672.766313907</v>
      </c>
      <c r="R75" s="65">
        <f t="shared" si="13"/>
        <v>26692192.778513532</v>
      </c>
      <c r="S75" s="25">
        <f t="shared" si="14"/>
        <v>557050.66767016798</v>
      </c>
      <c r="T75" s="38">
        <f t="shared" si="15"/>
        <v>2.0560213973681022E-2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spans="1:34">
      <c r="A76" s="2">
        <v>42767</v>
      </c>
      <c r="B76">
        <f t="shared" si="11"/>
        <v>2017</v>
      </c>
      <c r="C76">
        <f t="shared" si="12"/>
        <v>2</v>
      </c>
      <c r="D76" s="69">
        <v>22110279.383132529</v>
      </c>
      <c r="E76" s="69">
        <v>958479.98780037428</v>
      </c>
      <c r="F76" s="69">
        <v>23068759.370932903</v>
      </c>
      <c r="G76" s="63">
        <v>454.4</v>
      </c>
      <c r="H76" s="63">
        <v>0</v>
      </c>
      <c r="I76" s="66">
        <f t="shared" si="10"/>
        <v>570.53578947368419</v>
      </c>
      <c r="J76" s="66">
        <f t="shared" si="10"/>
        <v>0</v>
      </c>
      <c r="K76" s="25">
        <v>28</v>
      </c>
      <c r="L76" s="25">
        <v>0</v>
      </c>
      <c r="M76" s="25">
        <v>0</v>
      </c>
      <c r="N76" s="30">
        <v>33938</v>
      </c>
      <c r="O76" s="87">
        <v>0</v>
      </c>
      <c r="P76" s="59">
        <v>0</v>
      </c>
      <c r="Q76" s="25">
        <f t="shared" si="16"/>
        <v>23955937.814853568</v>
      </c>
      <c r="R76" s="65">
        <f t="shared" si="13"/>
        <v>22997457.827053193</v>
      </c>
      <c r="S76" s="25">
        <f t="shared" si="14"/>
        <v>887178.44392066449</v>
      </c>
      <c r="T76" s="38">
        <f t="shared" si="15"/>
        <v>3.8458004162916844E-2</v>
      </c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1:34">
      <c r="A77" s="2">
        <v>42795</v>
      </c>
      <c r="B77">
        <f t="shared" si="11"/>
        <v>2017</v>
      </c>
      <c r="C77">
        <f t="shared" si="12"/>
        <v>3</v>
      </c>
      <c r="D77" s="69">
        <v>24430975.248192772</v>
      </c>
      <c r="E77" s="69">
        <v>958479.98780037428</v>
      </c>
      <c r="F77" s="69">
        <v>25389455.235993147</v>
      </c>
      <c r="G77" s="63">
        <v>512</v>
      </c>
      <c r="H77" s="63">
        <v>0</v>
      </c>
      <c r="I77" s="66">
        <f t="shared" si="10"/>
        <v>461.49315789473712</v>
      </c>
      <c r="J77" s="66">
        <f t="shared" si="10"/>
        <v>0.17368421052631611</v>
      </c>
      <c r="K77" s="25">
        <v>31</v>
      </c>
      <c r="L77" s="25">
        <v>1</v>
      </c>
      <c r="M77" s="25">
        <v>0</v>
      </c>
      <c r="N77" s="30">
        <v>33998</v>
      </c>
      <c r="O77" s="87">
        <v>0</v>
      </c>
      <c r="P77" s="59">
        <v>0</v>
      </c>
      <c r="Q77" s="25">
        <f t="shared" si="16"/>
        <v>25012680.244739477</v>
      </c>
      <c r="R77" s="65">
        <f t="shared" si="13"/>
        <v>24054200.256939102</v>
      </c>
      <c r="S77" s="25">
        <f t="shared" si="14"/>
        <v>-376774.99125367031</v>
      </c>
      <c r="T77" s="38">
        <f t="shared" si="15"/>
        <v>1.4839821798127375E-2</v>
      </c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spans="1:34">
      <c r="A78" s="2">
        <v>42826</v>
      </c>
      <c r="B78">
        <f t="shared" si="11"/>
        <v>2017</v>
      </c>
      <c r="C78">
        <f t="shared" si="12"/>
        <v>4</v>
      </c>
      <c r="D78" s="69">
        <v>19400096.75180722</v>
      </c>
      <c r="E78" s="69">
        <v>958479.98780037428</v>
      </c>
      <c r="F78" s="69">
        <v>20358576.739607595</v>
      </c>
      <c r="G78" s="63">
        <v>199.7</v>
      </c>
      <c r="H78" s="63">
        <v>2.1999999999999993</v>
      </c>
      <c r="I78" s="66">
        <f t="shared" si="10"/>
        <v>285.02368421052643</v>
      </c>
      <c r="J78" s="66">
        <f t="shared" si="10"/>
        <v>0</v>
      </c>
      <c r="K78" s="25">
        <v>30</v>
      </c>
      <c r="L78" s="25">
        <v>1</v>
      </c>
      <c r="M78" s="25">
        <v>0</v>
      </c>
      <c r="N78" s="30">
        <v>34086</v>
      </c>
      <c r="O78" s="87">
        <v>0</v>
      </c>
      <c r="P78" s="59">
        <v>0</v>
      </c>
      <c r="Q78" s="25">
        <f t="shared" si="16"/>
        <v>20895690.00771207</v>
      </c>
      <c r="R78" s="65">
        <f t="shared" si="13"/>
        <v>19937210.019911695</v>
      </c>
      <c r="S78" s="25">
        <f t="shared" si="14"/>
        <v>537113.26810447499</v>
      </c>
      <c r="T78" s="38">
        <f t="shared" si="15"/>
        <v>2.638265311835486E-2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spans="1:34">
      <c r="A79" s="2">
        <v>42856</v>
      </c>
      <c r="B79">
        <f t="shared" si="11"/>
        <v>2017</v>
      </c>
      <c r="C79">
        <f t="shared" si="12"/>
        <v>5</v>
      </c>
      <c r="D79" s="69">
        <v>20438887.527710862</v>
      </c>
      <c r="E79" s="69">
        <v>958479.98780037428</v>
      </c>
      <c r="F79" s="69">
        <v>21397367.515511237</v>
      </c>
      <c r="G79" s="63">
        <v>125.89999999999998</v>
      </c>
      <c r="H79" s="63">
        <v>19.900000000000002</v>
      </c>
      <c r="I79" s="66">
        <f t="shared" si="10"/>
        <v>92.127894736842109</v>
      </c>
      <c r="J79" s="66">
        <f t="shared" si="10"/>
        <v>50.712631578947821</v>
      </c>
      <c r="K79" s="25">
        <v>31</v>
      </c>
      <c r="L79" s="25">
        <v>1</v>
      </c>
      <c r="M79" s="25">
        <v>0</v>
      </c>
      <c r="N79" s="30">
        <v>34202</v>
      </c>
      <c r="O79" s="87">
        <v>0</v>
      </c>
      <c r="P79" s="59">
        <v>0</v>
      </c>
      <c r="Q79" s="25">
        <f t="shared" si="16"/>
        <v>22745653.264162607</v>
      </c>
      <c r="R79" s="65">
        <f t="shared" si="13"/>
        <v>21787173.276362233</v>
      </c>
      <c r="S79" s="25">
        <f t="shared" si="14"/>
        <v>1348285.7486513704</v>
      </c>
      <c r="T79" s="38">
        <f t="shared" si="15"/>
        <v>6.3011758230258008E-2</v>
      </c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0" spans="1:34">
      <c r="A80" s="2">
        <v>42887</v>
      </c>
      <c r="B80">
        <f t="shared" si="11"/>
        <v>2017</v>
      </c>
      <c r="C80">
        <f t="shared" si="12"/>
        <v>6</v>
      </c>
      <c r="D80" s="69">
        <v>27578153.118072305</v>
      </c>
      <c r="E80" s="69">
        <v>958479.98780037428</v>
      </c>
      <c r="F80" s="69">
        <v>28536633.10587268</v>
      </c>
      <c r="G80" s="63">
        <v>8.8000000000000007</v>
      </c>
      <c r="H80" s="63">
        <v>110.30000000000001</v>
      </c>
      <c r="I80" s="66">
        <f t="shared" si="10"/>
        <v>6.5805263157894842</v>
      </c>
      <c r="J80" s="66">
        <f t="shared" si="10"/>
        <v>122.87210526315789</v>
      </c>
      <c r="K80" s="25">
        <v>30</v>
      </c>
      <c r="L80" s="25">
        <v>0</v>
      </c>
      <c r="M80" s="25">
        <v>0</v>
      </c>
      <c r="N80" s="30">
        <v>34272</v>
      </c>
      <c r="O80" s="87">
        <v>0</v>
      </c>
      <c r="P80" s="59">
        <v>0</v>
      </c>
      <c r="Q80" s="25">
        <f t="shared" si="16"/>
        <v>29175067.518472165</v>
      </c>
      <c r="R80" s="65">
        <f t="shared" si="13"/>
        <v>28216587.53067179</v>
      </c>
      <c r="S80" s="25">
        <f t="shared" si="14"/>
        <v>638434.41259948537</v>
      </c>
      <c r="T80" s="38">
        <f t="shared" si="15"/>
        <v>2.2372450535101816E-2</v>
      </c>
    </row>
    <row r="81" spans="1:34">
      <c r="A81" s="2">
        <v>42917</v>
      </c>
      <c r="B81">
        <f t="shared" si="11"/>
        <v>2017</v>
      </c>
      <c r="C81">
        <f t="shared" si="12"/>
        <v>7</v>
      </c>
      <c r="D81" s="69">
        <v>28972066.226506032</v>
      </c>
      <c r="E81" s="69">
        <v>958479.98780037428</v>
      </c>
      <c r="F81" s="69">
        <v>29930546.214306407</v>
      </c>
      <c r="G81" s="63">
        <v>0</v>
      </c>
      <c r="H81" s="63">
        <v>178.50000000000003</v>
      </c>
      <c r="I81" s="66">
        <f t="shared" si="10"/>
        <v>0</v>
      </c>
      <c r="J81" s="66">
        <f t="shared" si="10"/>
        <v>211.7568421052631</v>
      </c>
      <c r="K81" s="25">
        <v>31</v>
      </c>
      <c r="L81" s="25">
        <v>0</v>
      </c>
      <c r="M81" s="25">
        <v>0</v>
      </c>
      <c r="N81" s="30">
        <v>34382</v>
      </c>
      <c r="O81" s="87">
        <v>0</v>
      </c>
      <c r="P81" s="59">
        <v>0</v>
      </c>
      <c r="Q81" s="25">
        <f t="shared" si="16"/>
        <v>31664239.816484347</v>
      </c>
      <c r="R81" s="65">
        <f t="shared" si="13"/>
        <v>30705759.828683972</v>
      </c>
      <c r="S81" s="25">
        <f t="shared" si="14"/>
        <v>1733693.6021779403</v>
      </c>
      <c r="T81" s="38">
        <f t="shared" si="15"/>
        <v>5.7923887849038236E-2</v>
      </c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</row>
    <row r="82" spans="1:34">
      <c r="A82" s="2">
        <v>42948</v>
      </c>
      <c r="B82">
        <f t="shared" si="11"/>
        <v>2017</v>
      </c>
      <c r="C82">
        <f t="shared" si="12"/>
        <v>8</v>
      </c>
      <c r="D82" s="69">
        <v>29587012.925301205</v>
      </c>
      <c r="E82" s="69">
        <v>958479.98780037428</v>
      </c>
      <c r="F82" s="69">
        <v>30545492.91310158</v>
      </c>
      <c r="G82" s="63">
        <v>1.9000000000000004</v>
      </c>
      <c r="H82" s="63">
        <v>127.49999999999999</v>
      </c>
      <c r="I82" s="66">
        <f t="shared" si="10"/>
        <v>0.34105263157894772</v>
      </c>
      <c r="J82" s="66">
        <f t="shared" si="10"/>
        <v>191.39947368421053</v>
      </c>
      <c r="K82" s="25">
        <v>31</v>
      </c>
      <c r="L82" s="25">
        <v>0</v>
      </c>
      <c r="M82" s="25">
        <v>0</v>
      </c>
      <c r="N82" s="30">
        <v>34485</v>
      </c>
      <c r="O82" s="87">
        <v>0</v>
      </c>
      <c r="P82" s="59">
        <v>0</v>
      </c>
      <c r="Q82" s="25">
        <f t="shared" si="16"/>
        <v>33864691.159823008</v>
      </c>
      <c r="R82" s="65">
        <f t="shared" si="13"/>
        <v>32906211.172022633</v>
      </c>
      <c r="S82" s="25">
        <f t="shared" si="14"/>
        <v>3319198.2467214279</v>
      </c>
      <c r="T82" s="38">
        <f t="shared" si="15"/>
        <v>0.1086640918240922</v>
      </c>
    </row>
    <row r="83" spans="1:34">
      <c r="A83" s="2">
        <v>42979</v>
      </c>
      <c r="B83">
        <f t="shared" si="11"/>
        <v>2017</v>
      </c>
      <c r="C83">
        <f t="shared" si="12"/>
        <v>9</v>
      </c>
      <c r="D83" s="69">
        <v>25857618.775903624</v>
      </c>
      <c r="E83" s="69">
        <v>958479.98780037428</v>
      </c>
      <c r="F83" s="69">
        <v>26816098.763703998</v>
      </c>
      <c r="G83" s="63">
        <v>25.2</v>
      </c>
      <c r="H83" s="63">
        <v>107.6</v>
      </c>
      <c r="I83" s="66">
        <f t="shared" ref="I83:J98" si="17">I95</f>
        <v>26.567368421052606</v>
      </c>
      <c r="J83" s="66">
        <f t="shared" si="17"/>
        <v>77.107368421052627</v>
      </c>
      <c r="K83" s="25">
        <v>30</v>
      </c>
      <c r="L83" s="25">
        <v>1</v>
      </c>
      <c r="M83" s="25">
        <v>1</v>
      </c>
      <c r="N83" s="30">
        <v>34561</v>
      </c>
      <c r="O83" s="87">
        <v>0</v>
      </c>
      <c r="P83" s="59">
        <v>0</v>
      </c>
      <c r="Q83" s="25">
        <f t="shared" si="16"/>
        <v>25236950.184347633</v>
      </c>
      <c r="R83" s="65">
        <f t="shared" si="13"/>
        <v>24278470.196547259</v>
      </c>
      <c r="S83" s="25">
        <f t="shared" si="14"/>
        <v>-1579148.5793563649</v>
      </c>
      <c r="T83" s="38">
        <f t="shared" si="15"/>
        <v>5.888808037557524E-2</v>
      </c>
    </row>
    <row r="84" spans="1:34">
      <c r="A84" s="2">
        <v>43009</v>
      </c>
      <c r="B84">
        <f t="shared" si="11"/>
        <v>2017</v>
      </c>
      <c r="C84">
        <f t="shared" si="12"/>
        <v>10</v>
      </c>
      <c r="D84" s="69">
        <v>20602579.845783144</v>
      </c>
      <c r="E84" s="69">
        <v>958479.98780037428</v>
      </c>
      <c r="F84" s="69">
        <v>21561059.833583519</v>
      </c>
      <c r="G84" s="63">
        <v>103.3</v>
      </c>
      <c r="H84" s="63">
        <v>19.399999999999999</v>
      </c>
      <c r="I84" s="66">
        <f t="shared" si="17"/>
        <v>154.52315789473778</v>
      </c>
      <c r="J84" s="66">
        <f t="shared" si="17"/>
        <v>10.628421052631595</v>
      </c>
      <c r="K84" s="25">
        <v>31</v>
      </c>
      <c r="L84" s="25">
        <v>1</v>
      </c>
      <c r="M84" s="25">
        <v>0</v>
      </c>
      <c r="N84" s="30">
        <v>34637</v>
      </c>
      <c r="O84" s="87">
        <v>0</v>
      </c>
      <c r="P84" s="59">
        <v>0</v>
      </c>
      <c r="Q84" s="25">
        <f t="shared" si="16"/>
        <v>21495094.885450389</v>
      </c>
      <c r="R84" s="65">
        <f t="shared" si="13"/>
        <v>20536614.897650015</v>
      </c>
      <c r="S84" s="25">
        <f t="shared" si="14"/>
        <v>-65964.948133129627</v>
      </c>
      <c r="T84" s="38">
        <f t="shared" si="15"/>
        <v>3.0594483129434383E-3</v>
      </c>
    </row>
    <row r="85" spans="1:34">
      <c r="A85" s="2">
        <v>43040</v>
      </c>
      <c r="B85">
        <f t="shared" si="11"/>
        <v>2017</v>
      </c>
      <c r="C85">
        <f t="shared" si="12"/>
        <v>11</v>
      </c>
      <c r="D85" s="69">
        <v>22620692.693975899</v>
      </c>
      <c r="E85" s="69">
        <v>958479.98780037428</v>
      </c>
      <c r="F85" s="69">
        <v>23579172.681776274</v>
      </c>
      <c r="G85" s="63">
        <v>369.4</v>
      </c>
      <c r="H85" s="63">
        <v>0</v>
      </c>
      <c r="I85" s="66">
        <f t="shared" si="17"/>
        <v>363.9931578947369</v>
      </c>
      <c r="J85" s="66">
        <f t="shared" si="17"/>
        <v>1.8421052631579116E-2</v>
      </c>
      <c r="K85" s="25">
        <v>30</v>
      </c>
      <c r="L85" s="25">
        <v>1</v>
      </c>
      <c r="M85" s="25">
        <v>0</v>
      </c>
      <c r="N85" s="30">
        <v>34794</v>
      </c>
      <c r="O85" s="87">
        <v>0</v>
      </c>
      <c r="P85" s="59">
        <v>0</v>
      </c>
      <c r="Q85" s="25">
        <f t="shared" si="16"/>
        <v>23538829.314044937</v>
      </c>
      <c r="R85" s="65">
        <f t="shared" si="13"/>
        <v>22580349.326244563</v>
      </c>
      <c r="S85" s="25">
        <f t="shared" si="14"/>
        <v>-40343.367731336504</v>
      </c>
      <c r="T85" s="38">
        <f t="shared" si="15"/>
        <v>1.7109746926157778E-3</v>
      </c>
    </row>
    <row r="86" spans="1:34">
      <c r="A86" s="2">
        <v>43070</v>
      </c>
      <c r="B86">
        <f t="shared" si="11"/>
        <v>2017</v>
      </c>
      <c r="C86">
        <f t="shared" si="12"/>
        <v>12</v>
      </c>
      <c r="D86" s="69">
        <v>26519901.040963847</v>
      </c>
      <c r="E86" s="69">
        <v>958479.98780037428</v>
      </c>
      <c r="F86" s="69">
        <v>27478381.028764222</v>
      </c>
      <c r="G86" s="63">
        <v>656.49999999999989</v>
      </c>
      <c r="H86" s="63">
        <v>0</v>
      </c>
      <c r="I86" s="66">
        <f t="shared" si="17"/>
        <v>499.7842105263162</v>
      </c>
      <c r="J86" s="66">
        <f t="shared" si="17"/>
        <v>0</v>
      </c>
      <c r="K86" s="25">
        <v>31</v>
      </c>
      <c r="L86" s="25">
        <v>0</v>
      </c>
      <c r="M86" s="25">
        <v>0</v>
      </c>
      <c r="N86" s="30">
        <v>34878</v>
      </c>
      <c r="O86" s="87">
        <v>0</v>
      </c>
      <c r="P86" s="59">
        <v>0</v>
      </c>
      <c r="Q86" s="25">
        <f t="shared" si="16"/>
        <v>26281205.972968303</v>
      </c>
      <c r="R86" s="65">
        <f t="shared" si="13"/>
        <v>25322725.985167928</v>
      </c>
      <c r="S86" s="25">
        <f t="shared" si="14"/>
        <v>-1197175.0557959192</v>
      </c>
      <c r="T86" s="38">
        <f t="shared" si="15"/>
        <v>4.3567889044944921E-2</v>
      </c>
    </row>
    <row r="87" spans="1:34">
      <c r="A87" s="2">
        <v>43101</v>
      </c>
      <c r="B87">
        <f t="shared" si="11"/>
        <v>2018</v>
      </c>
      <c r="C87">
        <f t="shared" si="12"/>
        <v>1</v>
      </c>
      <c r="D87" s="69">
        <v>28325353.78313252</v>
      </c>
      <c r="E87" s="69">
        <v>1281849.6400688274</v>
      </c>
      <c r="F87" s="69">
        <v>29607203.423201349</v>
      </c>
      <c r="G87" s="63">
        <v>670.29999999999984</v>
      </c>
      <c r="H87" s="63">
        <v>0</v>
      </c>
      <c r="I87" s="66">
        <f t="shared" si="17"/>
        <v>619.82052631578927</v>
      </c>
      <c r="J87" s="66">
        <f t="shared" si="17"/>
        <v>0</v>
      </c>
      <c r="K87" s="25">
        <v>31</v>
      </c>
      <c r="L87" s="25">
        <v>0</v>
      </c>
      <c r="M87" s="25">
        <v>0</v>
      </c>
      <c r="N87" s="30">
        <v>34927</v>
      </c>
      <c r="O87" s="87">
        <v>0</v>
      </c>
      <c r="P87" s="59">
        <v>0</v>
      </c>
      <c r="Q87" s="25">
        <f t="shared" si="16"/>
        <v>29221583.27013699</v>
      </c>
      <c r="R87" s="65">
        <f t="shared" si="13"/>
        <v>27939733.630068161</v>
      </c>
      <c r="S87" s="25">
        <f t="shared" si="14"/>
        <v>-385620.15306435898</v>
      </c>
      <c r="T87" s="38">
        <f t="shared" si="15"/>
        <v>1.3024538236602655E-2</v>
      </c>
    </row>
    <row r="88" spans="1:34">
      <c r="A88" s="2">
        <v>43132</v>
      </c>
      <c r="B88">
        <f t="shared" si="11"/>
        <v>2018</v>
      </c>
      <c r="C88">
        <f t="shared" si="12"/>
        <v>2</v>
      </c>
      <c r="D88" s="69">
        <v>22897439.132530119</v>
      </c>
      <c r="E88" s="69">
        <v>1281849.6400688274</v>
      </c>
      <c r="F88" s="69">
        <v>24179288.772598948</v>
      </c>
      <c r="G88" s="63">
        <v>499.00000000000011</v>
      </c>
      <c r="H88" s="63">
        <v>0</v>
      </c>
      <c r="I88" s="66">
        <f t="shared" si="17"/>
        <v>570.53578947368419</v>
      </c>
      <c r="J88" s="66">
        <f t="shared" si="17"/>
        <v>0</v>
      </c>
      <c r="K88" s="25">
        <v>28</v>
      </c>
      <c r="L88" s="25">
        <v>0</v>
      </c>
      <c r="M88" s="25">
        <v>0</v>
      </c>
      <c r="N88" s="30">
        <v>35069</v>
      </c>
      <c r="O88" s="87">
        <v>0</v>
      </c>
      <c r="P88" s="59">
        <v>0</v>
      </c>
      <c r="Q88" s="25">
        <f t="shared" si="16"/>
        <v>24725761.231067751</v>
      </c>
      <c r="R88" s="65">
        <f t="shared" si="13"/>
        <v>23443911.590998922</v>
      </c>
      <c r="S88" s="25">
        <f t="shared" si="14"/>
        <v>546472.45846880227</v>
      </c>
      <c r="T88" s="38">
        <f t="shared" si="15"/>
        <v>2.2600849165095763E-2</v>
      </c>
    </row>
    <row r="89" spans="1:34">
      <c r="A89" s="2">
        <v>43160</v>
      </c>
      <c r="B89">
        <f t="shared" si="11"/>
        <v>2018</v>
      </c>
      <c r="C89">
        <f t="shared" si="12"/>
        <v>3</v>
      </c>
      <c r="D89" s="69">
        <v>24842177.96626506</v>
      </c>
      <c r="E89" s="69">
        <v>1281849.6400688274</v>
      </c>
      <c r="F89" s="69">
        <v>26124027.606333889</v>
      </c>
      <c r="G89" s="63">
        <v>492</v>
      </c>
      <c r="H89" s="63">
        <v>0</v>
      </c>
      <c r="I89" s="66">
        <f t="shared" si="17"/>
        <v>461.49315789473712</v>
      </c>
      <c r="J89" s="66">
        <f t="shared" si="17"/>
        <v>0.17368421052631611</v>
      </c>
      <c r="K89" s="25">
        <v>31</v>
      </c>
      <c r="L89" s="25">
        <v>1</v>
      </c>
      <c r="M89" s="25">
        <v>0</v>
      </c>
      <c r="N89" s="30">
        <v>35293</v>
      </c>
      <c r="O89" s="87">
        <v>0</v>
      </c>
      <c r="P89" s="59">
        <v>0</v>
      </c>
      <c r="Q89" s="25">
        <f t="shared" si="16"/>
        <v>25900035.568197645</v>
      </c>
      <c r="R89" s="65">
        <f t="shared" si="13"/>
        <v>24618185.928128816</v>
      </c>
      <c r="S89" s="25">
        <f t="shared" si="14"/>
        <v>-223992.03813624382</v>
      </c>
      <c r="T89" s="38">
        <f t="shared" si="15"/>
        <v>8.5741770569074099E-3</v>
      </c>
    </row>
    <row r="90" spans="1:34">
      <c r="A90" s="2">
        <v>43191</v>
      </c>
      <c r="B90">
        <f t="shared" si="11"/>
        <v>2018</v>
      </c>
      <c r="C90">
        <f t="shared" si="12"/>
        <v>4</v>
      </c>
      <c r="D90" s="69">
        <v>21016838.76626505</v>
      </c>
      <c r="E90" s="69">
        <v>1281849.6400688274</v>
      </c>
      <c r="F90" s="69">
        <v>22298688.406333879</v>
      </c>
      <c r="G90" s="63">
        <v>377.2</v>
      </c>
      <c r="H90" s="63">
        <v>0</v>
      </c>
      <c r="I90" s="66">
        <f t="shared" si="17"/>
        <v>285.02368421052643</v>
      </c>
      <c r="J90" s="66">
        <f t="shared" si="17"/>
        <v>0</v>
      </c>
      <c r="K90" s="25">
        <v>30</v>
      </c>
      <c r="L90" s="25">
        <v>1</v>
      </c>
      <c r="M90" s="25">
        <v>0</v>
      </c>
      <c r="N90" s="30">
        <v>35464</v>
      </c>
      <c r="O90" s="87">
        <v>0</v>
      </c>
      <c r="P90" s="59">
        <v>0</v>
      </c>
      <c r="Q90" s="25">
        <f t="shared" si="16"/>
        <v>21594539.919643864</v>
      </c>
      <c r="R90" s="65">
        <f t="shared" si="13"/>
        <v>20312690.279575035</v>
      </c>
      <c r="S90" s="25">
        <f t="shared" si="14"/>
        <v>-704148.4866900146</v>
      </c>
      <c r="T90" s="38">
        <f t="shared" si="15"/>
        <v>3.157802261096232E-2</v>
      </c>
    </row>
    <row r="91" spans="1:34">
      <c r="A91" s="2">
        <v>43221</v>
      </c>
      <c r="B91">
        <f t="shared" si="11"/>
        <v>2018</v>
      </c>
      <c r="C91">
        <f t="shared" si="12"/>
        <v>5</v>
      </c>
      <c r="D91" s="69">
        <v>23626890.708433751</v>
      </c>
      <c r="E91" s="69">
        <v>1281849.6400688274</v>
      </c>
      <c r="F91" s="69">
        <v>24908740.34850258</v>
      </c>
      <c r="G91" s="63">
        <v>39.300000000000004</v>
      </c>
      <c r="H91" s="63">
        <v>69.399999999999991</v>
      </c>
      <c r="I91" s="66">
        <f t="shared" si="17"/>
        <v>92.127894736842109</v>
      </c>
      <c r="J91" s="66">
        <f t="shared" si="17"/>
        <v>50.712631578947821</v>
      </c>
      <c r="K91" s="25">
        <v>31</v>
      </c>
      <c r="L91" s="25">
        <v>1</v>
      </c>
      <c r="M91" s="25">
        <v>0</v>
      </c>
      <c r="N91" s="30">
        <v>35588</v>
      </c>
      <c r="O91" s="87">
        <v>0</v>
      </c>
      <c r="P91" s="59">
        <v>0</v>
      </c>
      <c r="Q91" s="25">
        <f t="shared" si="16"/>
        <v>24338119.816392146</v>
      </c>
      <c r="R91" s="65">
        <f t="shared" si="13"/>
        <v>23056270.176323317</v>
      </c>
      <c r="S91" s="25">
        <f t="shared" si="14"/>
        <v>-570620.53211043403</v>
      </c>
      <c r="T91" s="38">
        <f t="shared" si="15"/>
        <v>2.2908445956189735E-2</v>
      </c>
    </row>
    <row r="92" spans="1:34">
      <c r="A92" s="2">
        <v>43252</v>
      </c>
      <c r="B92">
        <f t="shared" si="11"/>
        <v>2018</v>
      </c>
      <c r="C92">
        <f t="shared" si="12"/>
        <v>6</v>
      </c>
      <c r="D92" s="69">
        <v>32759189.532530148</v>
      </c>
      <c r="E92" s="69">
        <v>1281849.6400688274</v>
      </c>
      <c r="F92" s="69">
        <v>34041039.172598973</v>
      </c>
      <c r="G92" s="63">
        <v>5.6999999999999993</v>
      </c>
      <c r="H92" s="63">
        <v>111.39999999999998</v>
      </c>
      <c r="I92" s="66">
        <f t="shared" si="17"/>
        <v>6.5805263157894842</v>
      </c>
      <c r="J92" s="66">
        <f t="shared" si="17"/>
        <v>122.87210526315789</v>
      </c>
      <c r="K92" s="25">
        <v>30</v>
      </c>
      <c r="L92" s="25">
        <v>0</v>
      </c>
      <c r="M92" s="25">
        <v>0</v>
      </c>
      <c r="N92" s="30">
        <v>35766</v>
      </c>
      <c r="O92" s="87">
        <v>0</v>
      </c>
      <c r="P92" s="59">
        <v>0</v>
      </c>
      <c r="Q92" s="25">
        <f t="shared" si="16"/>
        <v>34645811.465870321</v>
      </c>
      <c r="R92" s="65">
        <f t="shared" si="13"/>
        <v>33363961.825801492</v>
      </c>
      <c r="S92" s="25">
        <f t="shared" si="14"/>
        <v>604772.29327134788</v>
      </c>
      <c r="T92" s="38">
        <f t="shared" si="15"/>
        <v>1.7765976244290271E-2</v>
      </c>
    </row>
    <row r="93" spans="1:34">
      <c r="A93" s="2">
        <v>43282</v>
      </c>
      <c r="B93">
        <f t="shared" si="11"/>
        <v>2018</v>
      </c>
      <c r="C93">
        <f t="shared" si="12"/>
        <v>7</v>
      </c>
      <c r="D93" s="69">
        <v>33985677.465060242</v>
      </c>
      <c r="E93" s="69">
        <v>1281849.6400688274</v>
      </c>
      <c r="F93" s="69">
        <v>35267527.105129071</v>
      </c>
      <c r="G93" s="63">
        <v>0</v>
      </c>
      <c r="H93" s="63">
        <v>229.79999999999998</v>
      </c>
      <c r="I93" s="66">
        <f t="shared" si="17"/>
        <v>0</v>
      </c>
      <c r="J93" s="66">
        <f t="shared" si="17"/>
        <v>211.7568421052631</v>
      </c>
      <c r="K93" s="25">
        <v>31</v>
      </c>
      <c r="L93" s="25">
        <v>0</v>
      </c>
      <c r="M93" s="25">
        <v>0</v>
      </c>
      <c r="N93" s="30">
        <v>35939</v>
      </c>
      <c r="O93" s="87">
        <v>0</v>
      </c>
      <c r="P93" s="59">
        <v>0</v>
      </c>
      <c r="Q93" s="25">
        <f t="shared" si="16"/>
        <v>34326929.458900921</v>
      </c>
      <c r="R93" s="65">
        <f t="shared" si="13"/>
        <v>33045079.818832092</v>
      </c>
      <c r="S93" s="25">
        <f t="shared" si="14"/>
        <v>-940597.64622814953</v>
      </c>
      <c r="T93" s="38">
        <f t="shared" si="15"/>
        <v>2.6670360057406899E-2</v>
      </c>
    </row>
    <row r="94" spans="1:34">
      <c r="A94" s="2">
        <v>43313</v>
      </c>
      <c r="B94">
        <f t="shared" si="11"/>
        <v>2018</v>
      </c>
      <c r="C94">
        <f t="shared" si="12"/>
        <v>8</v>
      </c>
      <c r="D94" s="69">
        <v>36600647.12289153</v>
      </c>
      <c r="E94" s="69">
        <v>1281849.6400688274</v>
      </c>
      <c r="F94" s="69">
        <v>37882496.762960359</v>
      </c>
      <c r="G94" s="63">
        <v>0</v>
      </c>
      <c r="H94" s="63">
        <v>223.20000000000002</v>
      </c>
      <c r="I94" s="66">
        <f t="shared" si="17"/>
        <v>0.34105263157894772</v>
      </c>
      <c r="J94" s="66">
        <f t="shared" si="17"/>
        <v>191.39947368421053</v>
      </c>
      <c r="K94" s="25">
        <v>31</v>
      </c>
      <c r="L94" s="25">
        <v>0</v>
      </c>
      <c r="M94" s="25">
        <v>0</v>
      </c>
      <c r="N94" s="30">
        <v>36069</v>
      </c>
      <c r="O94" s="87">
        <v>0</v>
      </c>
      <c r="P94" s="59">
        <v>0</v>
      </c>
      <c r="Q94" s="25">
        <f t="shared" si="16"/>
        <v>36227326.885891423</v>
      </c>
      <c r="R94" s="65">
        <f t="shared" si="13"/>
        <v>34945477.245822594</v>
      </c>
      <c r="S94" s="25">
        <f t="shared" si="14"/>
        <v>-1655169.8770689368</v>
      </c>
      <c r="T94" s="38">
        <f t="shared" si="15"/>
        <v>4.3692206652209908E-2</v>
      </c>
    </row>
    <row r="95" spans="1:34">
      <c r="A95" s="2">
        <v>43344</v>
      </c>
      <c r="B95">
        <f t="shared" si="11"/>
        <v>2018</v>
      </c>
      <c r="C95">
        <f t="shared" si="12"/>
        <v>9</v>
      </c>
      <c r="D95" s="69">
        <v>27341665.600000009</v>
      </c>
      <c r="E95" s="69">
        <v>1281849.6400688274</v>
      </c>
      <c r="F95" s="69">
        <v>28623515.240068838</v>
      </c>
      <c r="G95" s="63">
        <v>25.1</v>
      </c>
      <c r="H95" s="63">
        <v>114.89999999999998</v>
      </c>
      <c r="I95" s="66">
        <f t="shared" si="17"/>
        <v>26.567368421052606</v>
      </c>
      <c r="J95" s="66">
        <f t="shared" si="17"/>
        <v>77.107368421052627</v>
      </c>
      <c r="K95" s="25">
        <v>30</v>
      </c>
      <c r="L95" s="25">
        <v>1</v>
      </c>
      <c r="M95" s="25">
        <v>1</v>
      </c>
      <c r="N95" s="30">
        <v>36128</v>
      </c>
      <c r="O95" s="87">
        <v>0</v>
      </c>
      <c r="P95" s="59">
        <v>0</v>
      </c>
      <c r="Q95" s="25">
        <f t="shared" si="16"/>
        <v>26664578.409525536</v>
      </c>
      <c r="R95" s="65">
        <f t="shared" si="13"/>
        <v>25382728.769456707</v>
      </c>
      <c r="S95" s="25">
        <f t="shared" si="14"/>
        <v>-1958936.830543302</v>
      </c>
      <c r="T95" s="38">
        <f t="shared" si="15"/>
        <v>6.8438024264785971E-2</v>
      </c>
    </row>
    <row r="96" spans="1:34">
      <c r="A96" s="2">
        <v>43374</v>
      </c>
      <c r="B96">
        <f t="shared" si="11"/>
        <v>2018</v>
      </c>
      <c r="C96">
        <f t="shared" si="12"/>
        <v>10</v>
      </c>
      <c r="D96" s="69">
        <v>21787579.980722882</v>
      </c>
      <c r="E96" s="69">
        <v>1281849.6400688274</v>
      </c>
      <c r="F96" s="69">
        <v>23069429.620791711</v>
      </c>
      <c r="G96" s="63">
        <v>231.4</v>
      </c>
      <c r="H96" s="63">
        <v>12.2</v>
      </c>
      <c r="I96" s="66">
        <f t="shared" si="17"/>
        <v>154.52315789473778</v>
      </c>
      <c r="J96" s="66">
        <f t="shared" si="17"/>
        <v>10.628421052631595</v>
      </c>
      <c r="K96" s="25">
        <v>31</v>
      </c>
      <c r="L96" s="25">
        <v>1</v>
      </c>
      <c r="M96" s="25">
        <v>0</v>
      </c>
      <c r="N96" s="30">
        <v>36344</v>
      </c>
      <c r="O96" s="87">
        <v>0</v>
      </c>
      <c r="P96" s="59">
        <v>0</v>
      </c>
      <c r="Q96" s="25">
        <f t="shared" si="16"/>
        <v>22400228.980524771</v>
      </c>
      <c r="R96" s="65">
        <f t="shared" si="13"/>
        <v>21118379.340455942</v>
      </c>
      <c r="S96" s="25">
        <f t="shared" si="14"/>
        <v>-669200.64026694</v>
      </c>
      <c r="T96" s="38">
        <f t="shared" si="15"/>
        <v>2.9008113822797409E-2</v>
      </c>
    </row>
    <row r="97" spans="1:41">
      <c r="A97" s="2">
        <v>43405</v>
      </c>
      <c r="B97">
        <f t="shared" si="11"/>
        <v>2018</v>
      </c>
      <c r="C97">
        <f t="shared" si="12"/>
        <v>11</v>
      </c>
      <c r="D97" s="69">
        <v>20895540.250602394</v>
      </c>
      <c r="E97" s="69">
        <v>1281849.6400688274</v>
      </c>
      <c r="F97" s="69">
        <v>22177389.890671223</v>
      </c>
      <c r="G97" s="63">
        <v>434.10000000000008</v>
      </c>
      <c r="H97" s="63">
        <v>0</v>
      </c>
      <c r="I97" s="66">
        <f t="shared" si="17"/>
        <v>363.9931578947369</v>
      </c>
      <c r="J97" s="66">
        <f t="shared" si="17"/>
        <v>1.8421052631579116E-2</v>
      </c>
      <c r="K97" s="25">
        <v>30</v>
      </c>
      <c r="L97" s="25">
        <v>1</v>
      </c>
      <c r="M97" s="25">
        <v>0</v>
      </c>
      <c r="N97" s="30">
        <v>36437</v>
      </c>
      <c r="O97" s="87">
        <v>0</v>
      </c>
      <c r="P97" s="59">
        <v>0</v>
      </c>
      <c r="Q97" s="25">
        <f t="shared" si="16"/>
        <v>21642793.669605009</v>
      </c>
      <c r="R97" s="65">
        <f t="shared" si="13"/>
        <v>20360944.02953618</v>
      </c>
      <c r="S97" s="25">
        <f t="shared" si="14"/>
        <v>-534596.22106621414</v>
      </c>
      <c r="T97" s="38">
        <f t="shared" si="15"/>
        <v>2.410546163013929E-2</v>
      </c>
    </row>
    <row r="98" spans="1:41">
      <c r="A98" s="2">
        <v>43435</v>
      </c>
      <c r="B98">
        <f t="shared" si="11"/>
        <v>2018</v>
      </c>
      <c r="C98">
        <f t="shared" si="12"/>
        <v>12</v>
      </c>
      <c r="D98" s="69">
        <v>29544191.980722886</v>
      </c>
      <c r="E98" s="69">
        <v>1281849.6400688274</v>
      </c>
      <c r="F98" s="69">
        <v>30826041.620791715</v>
      </c>
      <c r="G98" s="63">
        <v>501.6</v>
      </c>
      <c r="H98" s="63">
        <v>0</v>
      </c>
      <c r="I98" s="66">
        <f t="shared" si="17"/>
        <v>499.7842105263162</v>
      </c>
      <c r="J98" s="66">
        <f t="shared" si="17"/>
        <v>0</v>
      </c>
      <c r="K98" s="25">
        <v>31</v>
      </c>
      <c r="L98" s="25">
        <v>0</v>
      </c>
      <c r="M98" s="25">
        <v>0</v>
      </c>
      <c r="N98" s="30">
        <v>36530</v>
      </c>
      <c r="O98" s="87">
        <v>0</v>
      </c>
      <c r="P98" s="59">
        <v>0</v>
      </c>
      <c r="Q98" s="25">
        <f t="shared" si="16"/>
        <v>30812170.536890268</v>
      </c>
      <c r="R98" s="65">
        <f t="shared" si="13"/>
        <v>29530320.896821439</v>
      </c>
      <c r="S98" s="25">
        <f t="shared" si="14"/>
        <v>-13871.083901446313</v>
      </c>
      <c r="T98" s="38">
        <f t="shared" si="15"/>
        <v>4.4997940611649827E-4</v>
      </c>
    </row>
    <row r="99" spans="1:41" s="9" customFormat="1">
      <c r="A99" s="2">
        <v>43466</v>
      </c>
      <c r="B99">
        <f t="shared" si="11"/>
        <v>2019</v>
      </c>
      <c r="C99">
        <f t="shared" si="12"/>
        <v>1</v>
      </c>
      <c r="D99" s="69">
        <v>28887987.922891602</v>
      </c>
      <c r="E99" s="69">
        <v>1408690.5797202766</v>
      </c>
      <c r="F99" s="69">
        <v>30296678.502611879</v>
      </c>
      <c r="G99" s="63">
        <v>702.49999999999989</v>
      </c>
      <c r="H99" s="63">
        <v>0</v>
      </c>
      <c r="I99" s="66">
        <f t="shared" ref="I99:J114" si="18">I111</f>
        <v>619.82052631578927</v>
      </c>
      <c r="J99" s="66">
        <f t="shared" si="18"/>
        <v>0</v>
      </c>
      <c r="K99" s="25">
        <v>31</v>
      </c>
      <c r="L99" s="25">
        <v>0</v>
      </c>
      <c r="M99" s="25">
        <v>0</v>
      </c>
      <c r="N99" s="30">
        <v>36566</v>
      </c>
      <c r="O99" s="87">
        <v>0</v>
      </c>
      <c r="P99" s="59">
        <v>0</v>
      </c>
      <c r="Q99" s="25">
        <f t="shared" si="16"/>
        <v>29665077.795028463</v>
      </c>
      <c r="R99" s="65">
        <f t="shared" si="13"/>
        <v>28256387.215308186</v>
      </c>
      <c r="S99" s="25">
        <f t="shared" si="14"/>
        <v>-631600.70758341625</v>
      </c>
      <c r="T99" s="38">
        <f t="shared" si="15"/>
        <v>2.084719311818178E-2</v>
      </c>
      <c r="U99"/>
      <c r="V99"/>
      <c r="W99"/>
      <c r="X99"/>
      <c r="Y99"/>
      <c r="Z99"/>
      <c r="AA99"/>
      <c r="AB99"/>
      <c r="AC99"/>
      <c r="AD99"/>
      <c r="AE99"/>
      <c r="AF99"/>
      <c r="AG99" s="29"/>
      <c r="AH99" s="29"/>
      <c r="AI99" s="29"/>
      <c r="AJ99" s="29"/>
      <c r="AK99" s="29"/>
      <c r="AL99" s="29"/>
      <c r="AM99" s="29"/>
      <c r="AN99" s="29"/>
      <c r="AO99" s="29"/>
    </row>
    <row r="100" spans="1:41">
      <c r="A100" s="2">
        <v>43497</v>
      </c>
      <c r="B100">
        <f t="shared" si="11"/>
        <v>2019</v>
      </c>
      <c r="C100">
        <f t="shared" si="12"/>
        <v>2</v>
      </c>
      <c r="D100" s="69">
        <v>25855133.050602406</v>
      </c>
      <c r="E100" s="69">
        <v>1408690.5797202766</v>
      </c>
      <c r="F100" s="69">
        <v>27263823.630322684</v>
      </c>
      <c r="G100" s="63">
        <v>565.70000000000005</v>
      </c>
      <c r="H100" s="63">
        <v>0</v>
      </c>
      <c r="I100" s="66">
        <f t="shared" si="18"/>
        <v>570.53578947368419</v>
      </c>
      <c r="J100" s="66">
        <f t="shared" si="18"/>
        <v>0</v>
      </c>
      <c r="K100" s="25">
        <v>28</v>
      </c>
      <c r="L100" s="25">
        <v>0</v>
      </c>
      <c r="M100" s="25">
        <v>0</v>
      </c>
      <c r="N100" s="30">
        <v>36622</v>
      </c>
      <c r="O100" s="87">
        <v>0</v>
      </c>
      <c r="P100" s="59">
        <v>0</v>
      </c>
      <c r="Q100" s="25">
        <f t="shared" si="16"/>
        <v>27300764.940144867</v>
      </c>
      <c r="R100" s="65">
        <f t="shared" si="13"/>
        <v>25892074.360424589</v>
      </c>
      <c r="S100" s="25">
        <f t="shared" si="14"/>
        <v>36941.309822183102</v>
      </c>
      <c r="T100" s="38">
        <f t="shared" si="15"/>
        <v>1.3549570420891795E-3</v>
      </c>
    </row>
    <row r="101" spans="1:41">
      <c r="A101" s="2">
        <v>43525</v>
      </c>
      <c r="B101">
        <f t="shared" si="11"/>
        <v>2019</v>
      </c>
      <c r="C101">
        <f t="shared" si="12"/>
        <v>3</v>
      </c>
      <c r="D101" s="69">
        <v>23881199.306024097</v>
      </c>
      <c r="E101" s="69">
        <v>1408690.5797202766</v>
      </c>
      <c r="F101" s="69">
        <v>25289889.885744374</v>
      </c>
      <c r="G101" s="63">
        <v>531.9</v>
      </c>
      <c r="H101" s="63">
        <v>0</v>
      </c>
      <c r="I101" s="66">
        <f t="shared" si="18"/>
        <v>461.49315789473712</v>
      </c>
      <c r="J101" s="66">
        <f t="shared" si="18"/>
        <v>0.17368421052631611</v>
      </c>
      <c r="K101" s="25">
        <v>31</v>
      </c>
      <c r="L101" s="25">
        <v>1</v>
      </c>
      <c r="M101" s="25">
        <v>0</v>
      </c>
      <c r="N101" s="30">
        <v>36709</v>
      </c>
      <c r="O101" s="87">
        <v>0</v>
      </c>
      <c r="P101" s="59">
        <v>0</v>
      </c>
      <c r="Q101" s="25">
        <f t="shared" si="16"/>
        <v>24761095.856138863</v>
      </c>
      <c r="R101" s="65">
        <f t="shared" si="13"/>
        <v>23352405.276418585</v>
      </c>
      <c r="S101" s="25">
        <f t="shared" si="14"/>
        <v>-528794.02960551158</v>
      </c>
      <c r="T101" s="38">
        <f t="shared" si="15"/>
        <v>2.0909305338794173E-2</v>
      </c>
    </row>
    <row r="102" spans="1:41">
      <c r="A102" s="2">
        <v>43556</v>
      </c>
      <c r="B102">
        <f t="shared" si="11"/>
        <v>2019</v>
      </c>
      <c r="C102">
        <f t="shared" si="12"/>
        <v>4</v>
      </c>
      <c r="D102" s="69">
        <v>22676737.503614482</v>
      </c>
      <c r="E102" s="69">
        <v>1408690.5797202766</v>
      </c>
      <c r="F102" s="69">
        <v>24085428.083334759</v>
      </c>
      <c r="G102" s="63">
        <v>286.80000000000007</v>
      </c>
      <c r="H102" s="63">
        <v>0</v>
      </c>
      <c r="I102" s="66">
        <f t="shared" si="18"/>
        <v>285.02368421052643</v>
      </c>
      <c r="J102" s="66">
        <f t="shared" si="18"/>
        <v>0</v>
      </c>
      <c r="K102" s="25">
        <v>30</v>
      </c>
      <c r="L102" s="25">
        <v>1</v>
      </c>
      <c r="M102" s="25">
        <v>0</v>
      </c>
      <c r="N102" s="30">
        <v>36807</v>
      </c>
      <c r="O102" s="87">
        <v>0</v>
      </c>
      <c r="P102" s="59">
        <v>0</v>
      </c>
      <c r="Q102" s="25">
        <f t="shared" si="16"/>
        <v>24071858.544735514</v>
      </c>
      <c r="R102" s="65">
        <f t="shared" si="13"/>
        <v>22663167.965015236</v>
      </c>
      <c r="S102" s="25">
        <f t="shared" si="14"/>
        <v>-13569.53859924525</v>
      </c>
      <c r="T102" s="38">
        <f t="shared" si="15"/>
        <v>5.6339204569232115E-4</v>
      </c>
    </row>
    <row r="103" spans="1:41">
      <c r="A103" s="2">
        <v>43586</v>
      </c>
      <c r="B103">
        <f t="shared" si="11"/>
        <v>2019</v>
      </c>
      <c r="C103">
        <f t="shared" si="12"/>
        <v>5</v>
      </c>
      <c r="D103" s="69">
        <v>22100464.308433745</v>
      </c>
      <c r="E103" s="69">
        <v>1408690.5797202766</v>
      </c>
      <c r="F103" s="69">
        <v>23509154.888154022</v>
      </c>
      <c r="G103" s="63">
        <v>135.6</v>
      </c>
      <c r="H103" s="63">
        <v>4.6000000000000014</v>
      </c>
      <c r="I103" s="66">
        <f t="shared" si="18"/>
        <v>92.127894736842109</v>
      </c>
      <c r="J103" s="66">
        <f t="shared" si="18"/>
        <v>50.712631578947821</v>
      </c>
      <c r="K103" s="25">
        <v>31</v>
      </c>
      <c r="L103" s="25">
        <v>1</v>
      </c>
      <c r="M103" s="25">
        <v>0</v>
      </c>
      <c r="N103" s="30">
        <v>36908</v>
      </c>
      <c r="O103" s="87">
        <v>0</v>
      </c>
      <c r="P103" s="59">
        <v>0</v>
      </c>
      <c r="Q103" s="25">
        <f t="shared" si="16"/>
        <v>25580936.540032979</v>
      </c>
      <c r="R103" s="65">
        <f t="shared" si="13"/>
        <v>24172245.960312702</v>
      </c>
      <c r="S103" s="25">
        <f t="shared" si="14"/>
        <v>2071781.6518789567</v>
      </c>
      <c r="T103" s="38">
        <f t="shared" si="15"/>
        <v>8.8126589906594319E-2</v>
      </c>
    </row>
    <row r="104" spans="1:41">
      <c r="A104" s="2">
        <v>43617</v>
      </c>
      <c r="B104">
        <f t="shared" si="11"/>
        <v>2019</v>
      </c>
      <c r="C104">
        <f t="shared" si="12"/>
        <v>6</v>
      </c>
      <c r="D104" s="69">
        <v>25171611.431325283</v>
      </c>
      <c r="E104" s="69">
        <v>1408690.5797202766</v>
      </c>
      <c r="F104" s="69">
        <v>26580302.01104556</v>
      </c>
      <c r="G104" s="63">
        <v>13.800000000000002</v>
      </c>
      <c r="H104" s="63">
        <v>79.600000000000009</v>
      </c>
      <c r="I104" s="66">
        <f t="shared" si="18"/>
        <v>6.5805263157894842</v>
      </c>
      <c r="J104" s="66">
        <f t="shared" si="18"/>
        <v>122.87210526315789</v>
      </c>
      <c r="K104" s="25">
        <v>30</v>
      </c>
      <c r="L104" s="25">
        <v>0</v>
      </c>
      <c r="M104" s="25">
        <v>0</v>
      </c>
      <c r="N104" s="30">
        <v>37029</v>
      </c>
      <c r="O104" s="87">
        <v>0</v>
      </c>
      <c r="P104" s="59">
        <v>0</v>
      </c>
      <c r="Q104" s="25">
        <f t="shared" si="16"/>
        <v>28780944.999713972</v>
      </c>
      <c r="R104" s="65">
        <f t="shared" si="13"/>
        <v>27372254.419993695</v>
      </c>
      <c r="S104" s="25">
        <f t="shared" si="14"/>
        <v>2200642.988668412</v>
      </c>
      <c r="T104" s="38">
        <f t="shared" si="15"/>
        <v>8.2792249228542447E-2</v>
      </c>
    </row>
    <row r="105" spans="1:41">
      <c r="A105" s="2">
        <v>43647</v>
      </c>
      <c r="B105">
        <f t="shared" si="11"/>
        <v>2019</v>
      </c>
      <c r="C105">
        <f t="shared" si="12"/>
        <v>7</v>
      </c>
      <c r="D105" s="69">
        <v>37225707.074698806</v>
      </c>
      <c r="E105" s="69">
        <v>1408690.5797202766</v>
      </c>
      <c r="F105" s="69">
        <v>38634397.654419079</v>
      </c>
      <c r="G105" s="63">
        <v>0</v>
      </c>
      <c r="H105" s="63">
        <v>228.9</v>
      </c>
      <c r="I105" s="66">
        <f t="shared" si="18"/>
        <v>0</v>
      </c>
      <c r="J105" s="66">
        <f t="shared" si="18"/>
        <v>211.7568421052631</v>
      </c>
      <c r="K105" s="25">
        <v>31</v>
      </c>
      <c r="L105" s="25">
        <v>0</v>
      </c>
      <c r="M105" s="25">
        <v>0</v>
      </c>
      <c r="N105" s="30">
        <v>37141</v>
      </c>
      <c r="O105" s="87">
        <v>0</v>
      </c>
      <c r="P105" s="59">
        <v>0</v>
      </c>
      <c r="Q105" s="25">
        <f t="shared" si="16"/>
        <v>37740717.398513839</v>
      </c>
      <c r="R105" s="65">
        <f t="shared" si="13"/>
        <v>36332026.818793565</v>
      </c>
      <c r="S105" s="25">
        <f t="shared" si="14"/>
        <v>-893680.25590524077</v>
      </c>
      <c r="T105" s="38">
        <f t="shared" si="15"/>
        <v>2.3131724840105533E-2</v>
      </c>
    </row>
    <row r="106" spans="1:41">
      <c r="A106" s="2">
        <v>43678</v>
      </c>
      <c r="B106">
        <f t="shared" si="11"/>
        <v>2019</v>
      </c>
      <c r="C106">
        <f t="shared" si="12"/>
        <v>8</v>
      </c>
      <c r="D106" s="69">
        <v>34053660.819277115</v>
      </c>
      <c r="E106" s="69">
        <v>1408690.5797202766</v>
      </c>
      <c r="F106" s="69">
        <v>35462351.398997389</v>
      </c>
      <c r="G106" s="63">
        <v>0</v>
      </c>
      <c r="H106" s="63">
        <v>164.40000000000006</v>
      </c>
      <c r="I106" s="66">
        <f t="shared" si="18"/>
        <v>0.34105263157894772</v>
      </c>
      <c r="J106" s="66">
        <f t="shared" si="18"/>
        <v>191.39947368421053</v>
      </c>
      <c r="K106" s="25">
        <v>31</v>
      </c>
      <c r="L106" s="25">
        <v>0</v>
      </c>
      <c r="M106" s="25">
        <v>0</v>
      </c>
      <c r="N106" s="30">
        <v>37161</v>
      </c>
      <c r="O106" s="87">
        <v>0</v>
      </c>
      <c r="P106" s="59">
        <v>0</v>
      </c>
      <c r="Q106" s="25">
        <f t="shared" si="16"/>
        <v>36872451.02302549</v>
      </c>
      <c r="R106" s="65">
        <f t="shared" si="13"/>
        <v>35463760.443305217</v>
      </c>
      <c r="S106" s="25">
        <f t="shared" si="14"/>
        <v>1410099.6240281016</v>
      </c>
      <c r="T106" s="38">
        <f t="shared" si="15"/>
        <v>3.9763286087903596E-2</v>
      </c>
    </row>
    <row r="107" spans="1:41">
      <c r="A107" s="2">
        <v>43709</v>
      </c>
      <c r="B107">
        <f t="shared" si="11"/>
        <v>2019</v>
      </c>
      <c r="C107">
        <f t="shared" si="12"/>
        <v>9</v>
      </c>
      <c r="D107" s="69">
        <v>25049312.13493976</v>
      </c>
      <c r="E107" s="69">
        <v>1408690.5797202766</v>
      </c>
      <c r="F107" s="69">
        <v>26458002.714660037</v>
      </c>
      <c r="G107" s="63">
        <v>11.699999999999998</v>
      </c>
      <c r="H107" s="63">
        <v>58.7</v>
      </c>
      <c r="I107" s="66">
        <f t="shared" si="18"/>
        <v>26.567368421052606</v>
      </c>
      <c r="J107" s="66">
        <f t="shared" si="18"/>
        <v>77.107368421052627</v>
      </c>
      <c r="K107" s="25">
        <v>30</v>
      </c>
      <c r="L107" s="25">
        <v>1</v>
      </c>
      <c r="M107" s="25">
        <v>1</v>
      </c>
      <c r="N107" s="30">
        <v>37192</v>
      </c>
      <c r="O107" s="87">
        <v>0</v>
      </c>
      <c r="P107" s="59">
        <v>0</v>
      </c>
      <c r="Q107" s="25">
        <f t="shared" si="16"/>
        <v>27531160.836202927</v>
      </c>
      <c r="R107" s="65">
        <f t="shared" si="13"/>
        <v>26122470.25648265</v>
      </c>
      <c r="S107" s="25">
        <f t="shared" si="14"/>
        <v>1073158.1215428896</v>
      </c>
      <c r="T107" s="38">
        <f t="shared" si="15"/>
        <v>4.0560813796737066E-2</v>
      </c>
    </row>
    <row r="108" spans="1:41">
      <c r="A108" s="2">
        <v>43739</v>
      </c>
      <c r="B108">
        <f t="shared" si="11"/>
        <v>2019</v>
      </c>
      <c r="C108">
        <f t="shared" si="12"/>
        <v>10</v>
      </c>
      <c r="D108" s="69">
        <v>22049631.412048209</v>
      </c>
      <c r="E108" s="69">
        <v>1408690.5797202766</v>
      </c>
      <c r="F108" s="69">
        <v>23458321.991768487</v>
      </c>
      <c r="G108" s="63">
        <v>177.10000000000002</v>
      </c>
      <c r="H108" s="63">
        <v>7.7000000000000028</v>
      </c>
      <c r="I108" s="66">
        <f t="shared" si="18"/>
        <v>154.52315789473778</v>
      </c>
      <c r="J108" s="66">
        <f t="shared" si="18"/>
        <v>10.628421052631595</v>
      </c>
      <c r="K108" s="25">
        <v>31</v>
      </c>
      <c r="L108" s="25">
        <v>1</v>
      </c>
      <c r="M108" s="25">
        <v>0</v>
      </c>
      <c r="N108" s="30">
        <v>37260</v>
      </c>
      <c r="O108" s="87">
        <v>0</v>
      </c>
      <c r="P108" s="59">
        <v>0</v>
      </c>
      <c r="Q108" s="25">
        <f t="shared" si="16"/>
        <v>23438514.020829935</v>
      </c>
      <c r="R108" s="65">
        <f t="shared" si="13"/>
        <v>22029823.441109657</v>
      </c>
      <c r="S108" s="25">
        <f t="shared" si="14"/>
        <v>-19807.970938552171</v>
      </c>
      <c r="T108" s="38">
        <f t="shared" si="15"/>
        <v>8.4438993315475754E-4</v>
      </c>
    </row>
    <row r="109" spans="1:41">
      <c r="A109" s="2">
        <v>43770</v>
      </c>
      <c r="B109">
        <f t="shared" si="11"/>
        <v>2019</v>
      </c>
      <c r="C109">
        <f t="shared" si="12"/>
        <v>11</v>
      </c>
      <c r="D109" s="69">
        <v>21315185.031325318</v>
      </c>
      <c r="E109" s="69">
        <v>1408690.5797202766</v>
      </c>
      <c r="F109" s="69">
        <v>22723875.611045595</v>
      </c>
      <c r="G109" s="63">
        <v>453.3</v>
      </c>
      <c r="H109" s="63">
        <v>0</v>
      </c>
      <c r="I109" s="66">
        <f t="shared" si="18"/>
        <v>363.9931578947369</v>
      </c>
      <c r="J109" s="66">
        <f t="shared" si="18"/>
        <v>1.8421052631579116E-2</v>
      </c>
      <c r="K109" s="25">
        <v>30</v>
      </c>
      <c r="L109" s="25">
        <v>1</v>
      </c>
      <c r="M109" s="25">
        <v>0</v>
      </c>
      <c r="N109" s="30">
        <v>37298</v>
      </c>
      <c r="O109" s="87">
        <v>0</v>
      </c>
      <c r="P109" s="59">
        <v>0</v>
      </c>
      <c r="Q109" s="25">
        <f t="shared" si="16"/>
        <v>22042607.754986651</v>
      </c>
      <c r="R109" s="65">
        <f t="shared" si="13"/>
        <v>20633917.175266374</v>
      </c>
      <c r="S109" s="25">
        <f t="shared" si="14"/>
        <v>-681267.85605894402</v>
      </c>
      <c r="T109" s="38">
        <f t="shared" si="15"/>
        <v>2.9980266910447008E-2</v>
      </c>
    </row>
    <row r="110" spans="1:41">
      <c r="A110" s="2">
        <v>43800</v>
      </c>
      <c r="B110">
        <f t="shared" si="11"/>
        <v>2019</v>
      </c>
      <c r="C110">
        <f t="shared" si="12"/>
        <v>12</v>
      </c>
      <c r="D110" s="69">
        <v>28146546.1686747</v>
      </c>
      <c r="E110" s="69">
        <v>1408690.5797202766</v>
      </c>
      <c r="F110" s="69">
        <v>29555236.748394977</v>
      </c>
      <c r="G110" s="63">
        <v>520.4</v>
      </c>
      <c r="H110" s="63">
        <v>0</v>
      </c>
      <c r="I110" s="66">
        <f t="shared" si="18"/>
        <v>499.7842105263162</v>
      </c>
      <c r="J110" s="66">
        <f t="shared" si="18"/>
        <v>0</v>
      </c>
      <c r="K110" s="25">
        <v>31</v>
      </c>
      <c r="L110" s="25">
        <v>0</v>
      </c>
      <c r="M110" s="25">
        <v>0</v>
      </c>
      <c r="N110" s="30">
        <v>37321</v>
      </c>
      <c r="O110" s="87">
        <v>0</v>
      </c>
      <c r="P110" s="59">
        <v>0</v>
      </c>
      <c r="Q110" s="25">
        <f t="shared" si="16"/>
        <v>29397749.688563149</v>
      </c>
      <c r="R110" s="65">
        <f t="shared" si="13"/>
        <v>27989059.108842872</v>
      </c>
      <c r="S110" s="25">
        <f t="shared" si="14"/>
        <v>-157487.05983182788</v>
      </c>
      <c r="T110" s="38">
        <f t="shared" si="15"/>
        <v>5.3285670208810072E-3</v>
      </c>
    </row>
    <row r="111" spans="1:41">
      <c r="A111" s="2">
        <v>43831</v>
      </c>
      <c r="B111">
        <f t="shared" si="11"/>
        <v>2020</v>
      </c>
      <c r="C111">
        <f t="shared" si="12"/>
        <v>1</v>
      </c>
      <c r="D111" s="69">
        <v>29703689.253012061</v>
      </c>
      <c r="E111" s="69">
        <v>1392643.6565677822</v>
      </c>
      <c r="F111" s="69">
        <v>31096332.909579843</v>
      </c>
      <c r="G111" s="63">
        <v>543</v>
      </c>
      <c r="H111" s="63">
        <v>0</v>
      </c>
      <c r="I111" s="66">
        <f t="shared" si="18"/>
        <v>619.82052631578927</v>
      </c>
      <c r="J111" s="66">
        <f t="shared" si="18"/>
        <v>0</v>
      </c>
      <c r="K111" s="25">
        <v>31</v>
      </c>
      <c r="L111" s="25">
        <v>0</v>
      </c>
      <c r="M111" s="25">
        <v>0</v>
      </c>
      <c r="N111" s="30">
        <v>37330</v>
      </c>
      <c r="O111" s="87">
        <v>0</v>
      </c>
      <c r="P111" s="59">
        <v>0</v>
      </c>
      <c r="Q111" s="25">
        <f t="shared" si="16"/>
        <v>31683176.253107909</v>
      </c>
      <c r="R111" s="65">
        <f t="shared" si="13"/>
        <v>30290532.596540127</v>
      </c>
      <c r="S111" s="25">
        <f t="shared" si="14"/>
        <v>586843.34352806583</v>
      </c>
      <c r="T111" s="38">
        <f t="shared" si="15"/>
        <v>1.8871786111708273E-2</v>
      </c>
      <c r="U111" s="11"/>
      <c r="AG111" s="29"/>
      <c r="AH111" s="29"/>
      <c r="AI111" s="29"/>
    </row>
    <row r="112" spans="1:41">
      <c r="A112" s="2">
        <v>43862</v>
      </c>
      <c r="B112">
        <f t="shared" si="11"/>
        <v>2020</v>
      </c>
      <c r="C112">
        <f t="shared" si="12"/>
        <v>2</v>
      </c>
      <c r="D112" s="69">
        <v>25536377.551807232</v>
      </c>
      <c r="E112" s="69">
        <v>1392643.6565677822</v>
      </c>
      <c r="F112" s="69">
        <v>26929021.208375014</v>
      </c>
      <c r="G112" s="63">
        <v>553.80000000000007</v>
      </c>
      <c r="H112" s="63">
        <v>0</v>
      </c>
      <c r="I112" s="66">
        <f t="shared" si="18"/>
        <v>570.53578947368419</v>
      </c>
      <c r="J112" s="66">
        <f t="shared" si="18"/>
        <v>0</v>
      </c>
      <c r="K112" s="25">
        <v>29</v>
      </c>
      <c r="L112" s="25">
        <v>0</v>
      </c>
      <c r="M112" s="25">
        <v>0</v>
      </c>
      <c r="N112" s="30">
        <v>37362</v>
      </c>
      <c r="O112" s="87">
        <v>0</v>
      </c>
      <c r="P112" s="59">
        <v>0</v>
      </c>
      <c r="Q112" s="25">
        <f t="shared" si="16"/>
        <v>27056868.375302065</v>
      </c>
      <c r="R112" s="65">
        <f t="shared" si="13"/>
        <v>25664224.718734283</v>
      </c>
      <c r="S112" s="25">
        <f t="shared" si="14"/>
        <v>127847.1669270508</v>
      </c>
      <c r="T112" s="38">
        <f t="shared" si="15"/>
        <v>4.7475608540606708E-3</v>
      </c>
    </row>
    <row r="113" spans="1:20">
      <c r="A113" s="2">
        <v>43891</v>
      </c>
      <c r="B113">
        <f t="shared" si="11"/>
        <v>2020</v>
      </c>
      <c r="C113">
        <f t="shared" si="12"/>
        <v>3</v>
      </c>
      <c r="D113" s="69">
        <v>24945910.043373495</v>
      </c>
      <c r="E113" s="69">
        <v>1392643.6565677822</v>
      </c>
      <c r="F113" s="69">
        <v>26338553.699941278</v>
      </c>
      <c r="G113" s="63">
        <v>396.7</v>
      </c>
      <c r="H113" s="63">
        <v>0</v>
      </c>
      <c r="I113" s="66">
        <f t="shared" si="18"/>
        <v>461.49315789473712</v>
      </c>
      <c r="J113" s="66">
        <f t="shared" si="18"/>
        <v>0.17368421052631611</v>
      </c>
      <c r="K113" s="25">
        <v>31</v>
      </c>
      <c r="L113" s="25">
        <v>1</v>
      </c>
      <c r="M113" s="25">
        <v>0</v>
      </c>
      <c r="N113" s="30">
        <v>37440</v>
      </c>
      <c r="O113" s="87">
        <v>396.7</v>
      </c>
      <c r="P113" s="59">
        <v>0</v>
      </c>
      <c r="Q113" s="25">
        <f t="shared" si="16"/>
        <v>26842572.433409575</v>
      </c>
      <c r="R113" s="65">
        <f t="shared" si="13"/>
        <v>25449928.776841793</v>
      </c>
      <c r="S113" s="25">
        <f t="shared" si="14"/>
        <v>504018.73346829787</v>
      </c>
      <c r="T113" s="38">
        <f t="shared" si="15"/>
        <v>1.9136158317964953E-2</v>
      </c>
    </row>
    <row r="114" spans="1:20">
      <c r="A114" s="2">
        <v>43922</v>
      </c>
      <c r="B114">
        <f t="shared" si="11"/>
        <v>2020</v>
      </c>
      <c r="C114">
        <f t="shared" si="12"/>
        <v>4</v>
      </c>
      <c r="D114" s="69">
        <v>25646430.178313266</v>
      </c>
      <c r="E114" s="69">
        <v>1392643.6565677822</v>
      </c>
      <c r="F114" s="69">
        <v>27039073.834881049</v>
      </c>
      <c r="G114" s="63">
        <v>302.29999999999995</v>
      </c>
      <c r="H114" s="63">
        <v>0</v>
      </c>
      <c r="I114" s="66">
        <f t="shared" si="18"/>
        <v>285.02368421052643</v>
      </c>
      <c r="J114" s="66">
        <f t="shared" si="18"/>
        <v>0</v>
      </c>
      <c r="K114" s="25">
        <v>30</v>
      </c>
      <c r="L114" s="25">
        <v>1</v>
      </c>
      <c r="M114" s="25">
        <v>0</v>
      </c>
      <c r="N114" s="30">
        <v>37485</v>
      </c>
      <c r="O114" s="87">
        <v>302.29999999999995</v>
      </c>
      <c r="P114" s="59">
        <v>0</v>
      </c>
      <c r="Q114" s="25">
        <f t="shared" si="16"/>
        <v>26907097.507615797</v>
      </c>
      <c r="R114" s="65">
        <f t="shared" si="13"/>
        <v>25514453.851048015</v>
      </c>
      <c r="S114" s="25">
        <f t="shared" si="14"/>
        <v>-131976.32726525143</v>
      </c>
      <c r="T114" s="38">
        <f t="shared" si="15"/>
        <v>4.8809485144050615E-3</v>
      </c>
    </row>
    <row r="115" spans="1:20">
      <c r="A115" s="2">
        <v>43952</v>
      </c>
      <c r="B115">
        <f t="shared" si="11"/>
        <v>2020</v>
      </c>
      <c r="C115">
        <f t="shared" si="12"/>
        <v>5</v>
      </c>
      <c r="D115" s="69">
        <v>25915345.012048189</v>
      </c>
      <c r="E115" s="69">
        <v>1392643.6565677822</v>
      </c>
      <c r="F115" s="69">
        <v>27307988.668615971</v>
      </c>
      <c r="G115" s="63">
        <v>160.9</v>
      </c>
      <c r="H115" s="63">
        <v>39</v>
      </c>
      <c r="I115" s="66">
        <f t="shared" ref="I115:J130" si="19">I127</f>
        <v>92.127894736842109</v>
      </c>
      <c r="J115" s="66">
        <f t="shared" si="19"/>
        <v>50.712631578947821</v>
      </c>
      <c r="K115" s="25">
        <v>31</v>
      </c>
      <c r="L115" s="25">
        <v>1</v>
      </c>
      <c r="M115" s="25">
        <v>0</v>
      </c>
      <c r="N115" s="30">
        <v>37545</v>
      </c>
      <c r="O115" s="87">
        <v>160.9</v>
      </c>
      <c r="P115" s="59">
        <v>39</v>
      </c>
      <c r="Q115" s="25">
        <f t="shared" si="16"/>
        <v>27393212.965792228</v>
      </c>
      <c r="R115" s="65">
        <f t="shared" si="13"/>
        <v>26000569.309224445</v>
      </c>
      <c r="S115" s="25">
        <f t="shared" si="14"/>
        <v>85224.297176256776</v>
      </c>
      <c r="T115" s="38">
        <f t="shared" si="15"/>
        <v>3.1208558861825588E-3</v>
      </c>
    </row>
    <row r="116" spans="1:20">
      <c r="A116" s="2">
        <v>43983</v>
      </c>
      <c r="B116">
        <f t="shared" si="11"/>
        <v>2020</v>
      </c>
      <c r="C116">
        <f t="shared" si="12"/>
        <v>6</v>
      </c>
      <c r="D116" s="69">
        <v>37641354.804819241</v>
      </c>
      <c r="E116" s="69">
        <v>1392643.6565677822</v>
      </c>
      <c r="F116" s="69">
        <v>39033998.461387023</v>
      </c>
      <c r="G116" s="63">
        <v>9.2999999999999989</v>
      </c>
      <c r="H116" s="63">
        <v>143.20000000000002</v>
      </c>
      <c r="I116" s="66">
        <f t="shared" si="19"/>
        <v>6.5805263157894842</v>
      </c>
      <c r="J116" s="66">
        <f t="shared" si="19"/>
        <v>122.87210526315789</v>
      </c>
      <c r="K116" s="25">
        <v>30</v>
      </c>
      <c r="L116" s="25">
        <v>0</v>
      </c>
      <c r="M116" s="25">
        <v>0</v>
      </c>
      <c r="N116" s="30">
        <v>37663</v>
      </c>
      <c r="O116" s="87">
        <v>9.2999999999999989</v>
      </c>
      <c r="P116" s="59">
        <v>143.20000000000002</v>
      </c>
      <c r="Q116" s="25">
        <f t="shared" si="16"/>
        <v>37953522.031687602</v>
      </c>
      <c r="R116" s="65">
        <f t="shared" si="13"/>
        <v>36560878.37511982</v>
      </c>
      <c r="S116" s="25">
        <f t="shared" si="14"/>
        <v>-1080476.4296994209</v>
      </c>
      <c r="T116" s="38">
        <f t="shared" si="15"/>
        <v>2.7680393305549861E-2</v>
      </c>
    </row>
    <row r="117" spans="1:20">
      <c r="A117" s="2">
        <v>44013</v>
      </c>
      <c r="B117">
        <f t="shared" si="11"/>
        <v>2020</v>
      </c>
      <c r="C117">
        <f t="shared" si="12"/>
        <v>7</v>
      </c>
      <c r="D117" s="69">
        <v>44487853.166265093</v>
      </c>
      <c r="E117" s="69">
        <v>1392643.6565677822</v>
      </c>
      <c r="F117" s="69">
        <v>45880496.822832875</v>
      </c>
      <c r="G117" s="63">
        <v>0</v>
      </c>
      <c r="H117" s="63">
        <v>277.7</v>
      </c>
      <c r="I117" s="66">
        <f t="shared" si="19"/>
        <v>0</v>
      </c>
      <c r="J117" s="66">
        <f t="shared" si="19"/>
        <v>211.7568421052631</v>
      </c>
      <c r="K117" s="25">
        <v>31</v>
      </c>
      <c r="L117" s="25">
        <v>0</v>
      </c>
      <c r="M117" s="25">
        <v>0</v>
      </c>
      <c r="N117" s="30">
        <v>37791</v>
      </c>
      <c r="O117" s="87">
        <v>0</v>
      </c>
      <c r="P117" s="59">
        <v>277.7</v>
      </c>
      <c r="Q117" s="25">
        <f t="shared" si="16"/>
        <v>42442851.402751856</v>
      </c>
      <c r="R117" s="65">
        <f t="shared" si="13"/>
        <v>41050207.746184073</v>
      </c>
      <c r="S117" s="25">
        <f t="shared" si="14"/>
        <v>-3437645.4200810194</v>
      </c>
      <c r="T117" s="38">
        <f t="shared" si="15"/>
        <v>7.4926072255831408E-2</v>
      </c>
    </row>
    <row r="118" spans="1:20">
      <c r="A118" s="2">
        <v>44044</v>
      </c>
      <c r="B118">
        <f t="shared" si="11"/>
        <v>2020</v>
      </c>
      <c r="C118">
        <f t="shared" si="12"/>
        <v>8</v>
      </c>
      <c r="D118" s="69">
        <v>38799720.212048218</v>
      </c>
      <c r="E118" s="69">
        <v>1392643.6565677822</v>
      </c>
      <c r="F118" s="69">
        <v>40192363.868616</v>
      </c>
      <c r="G118" s="63">
        <v>0</v>
      </c>
      <c r="H118" s="63">
        <v>187.89999999999998</v>
      </c>
      <c r="I118" s="66">
        <f t="shared" si="19"/>
        <v>0.34105263157894772</v>
      </c>
      <c r="J118" s="66">
        <f t="shared" si="19"/>
        <v>191.39947368421053</v>
      </c>
      <c r="K118" s="25">
        <v>31</v>
      </c>
      <c r="L118" s="25">
        <v>0</v>
      </c>
      <c r="M118" s="25">
        <v>0</v>
      </c>
      <c r="N118" s="30">
        <v>37841</v>
      </c>
      <c r="O118" s="87">
        <v>0</v>
      </c>
      <c r="P118" s="59">
        <v>187.89999999999998</v>
      </c>
      <c r="Q118" s="25">
        <f t="shared" si="16"/>
        <v>40377398.300879136</v>
      </c>
      <c r="R118" s="65">
        <f t="shared" si="13"/>
        <v>38984754.644311354</v>
      </c>
      <c r="S118" s="25">
        <f t="shared" si="14"/>
        <v>185034.43226313591</v>
      </c>
      <c r="T118" s="38">
        <f t="shared" si="15"/>
        <v>4.6037210667178273E-3</v>
      </c>
    </row>
    <row r="119" spans="1:20">
      <c r="A119" s="2">
        <v>44075</v>
      </c>
      <c r="B119">
        <f t="shared" si="11"/>
        <v>2020</v>
      </c>
      <c r="C119">
        <f t="shared" si="12"/>
        <v>9</v>
      </c>
      <c r="D119" s="69">
        <v>27206302.631325286</v>
      </c>
      <c r="E119" s="69">
        <v>1392643.6565677822</v>
      </c>
      <c r="F119" s="69">
        <v>28598946.287893068</v>
      </c>
      <c r="G119" s="63">
        <v>35.6</v>
      </c>
      <c r="H119" s="63">
        <v>59.8</v>
      </c>
      <c r="I119" s="66">
        <f t="shared" si="19"/>
        <v>26.567368421052606</v>
      </c>
      <c r="J119" s="66">
        <f t="shared" si="19"/>
        <v>77.107368421052627</v>
      </c>
      <c r="K119" s="25">
        <v>30</v>
      </c>
      <c r="L119" s="25">
        <v>1</v>
      </c>
      <c r="M119" s="25">
        <v>1</v>
      </c>
      <c r="N119" s="30">
        <v>37918</v>
      </c>
      <c r="O119" s="87">
        <v>35.6</v>
      </c>
      <c r="P119" s="59">
        <v>59.8</v>
      </c>
      <c r="Q119" s="25">
        <f t="shared" si="16"/>
        <v>29432185.303399295</v>
      </c>
      <c r="R119" s="65">
        <f t="shared" si="13"/>
        <v>28039541.646831512</v>
      </c>
      <c r="S119" s="25">
        <f t="shared" si="14"/>
        <v>833239.01550622657</v>
      </c>
      <c r="T119" s="38">
        <f t="shared" si="15"/>
        <v>2.9135304745789382E-2</v>
      </c>
    </row>
    <row r="120" spans="1:20">
      <c r="A120" s="2">
        <v>44105</v>
      </c>
      <c r="B120">
        <f t="shared" si="11"/>
        <v>2020</v>
      </c>
      <c r="C120">
        <f t="shared" si="12"/>
        <v>10</v>
      </c>
      <c r="D120" s="69">
        <v>24001107.065060236</v>
      </c>
      <c r="E120" s="69">
        <v>1392643.6565677822</v>
      </c>
      <c r="F120" s="69">
        <v>25393750.721628018</v>
      </c>
      <c r="G120" s="63">
        <v>208.8</v>
      </c>
      <c r="H120" s="63">
        <v>0.5</v>
      </c>
      <c r="I120" s="66">
        <f t="shared" si="19"/>
        <v>154.52315789473778</v>
      </c>
      <c r="J120" s="66">
        <f t="shared" si="19"/>
        <v>10.628421052631595</v>
      </c>
      <c r="K120" s="25">
        <v>31</v>
      </c>
      <c r="L120" s="25">
        <v>1</v>
      </c>
      <c r="M120" s="25">
        <v>0</v>
      </c>
      <c r="N120" s="30">
        <v>37985</v>
      </c>
      <c r="O120" s="87">
        <v>208.8</v>
      </c>
      <c r="P120" s="59">
        <v>0.5</v>
      </c>
      <c r="Q120" s="25">
        <f t="shared" si="16"/>
        <v>25507120.892581653</v>
      </c>
      <c r="R120" s="65">
        <f t="shared" si="13"/>
        <v>24114477.236013871</v>
      </c>
      <c r="S120" s="25">
        <f t="shared" si="14"/>
        <v>113370.17095363513</v>
      </c>
      <c r="T120" s="38">
        <f t="shared" si="15"/>
        <v>4.4644909763990491E-3</v>
      </c>
    </row>
    <row r="121" spans="1:20">
      <c r="A121" s="2">
        <v>44136</v>
      </c>
      <c r="B121">
        <f t="shared" si="11"/>
        <v>2020</v>
      </c>
      <c r="C121">
        <f t="shared" si="12"/>
        <v>11</v>
      </c>
      <c r="D121" s="69">
        <v>21906254.004819274</v>
      </c>
      <c r="E121" s="69">
        <v>1392643.6565677822</v>
      </c>
      <c r="F121" s="69">
        <v>23298897.661387056</v>
      </c>
      <c r="G121" s="63">
        <v>274.89999999999998</v>
      </c>
      <c r="H121" s="63">
        <v>0.10000000000000142</v>
      </c>
      <c r="I121" s="66">
        <f t="shared" si="19"/>
        <v>363.9931578947369</v>
      </c>
      <c r="J121" s="66">
        <f t="shared" si="19"/>
        <v>1.8421052631579116E-2</v>
      </c>
      <c r="K121" s="25">
        <v>30</v>
      </c>
      <c r="L121" s="25">
        <v>1</v>
      </c>
      <c r="M121" s="25">
        <v>0</v>
      </c>
      <c r="N121" s="30">
        <v>38048</v>
      </c>
      <c r="O121" s="87">
        <v>274.89999999999998</v>
      </c>
      <c r="P121" s="59">
        <v>0.10000000000000142</v>
      </c>
      <c r="Q121" s="25">
        <f t="shared" si="16"/>
        <v>23975240.703766346</v>
      </c>
      <c r="R121" s="65">
        <f t="shared" si="13"/>
        <v>22582597.047198564</v>
      </c>
      <c r="S121" s="25">
        <f t="shared" si="14"/>
        <v>676343.04237928987</v>
      </c>
      <c r="T121" s="38">
        <f t="shared" si="15"/>
        <v>2.9028971765483306E-2</v>
      </c>
    </row>
    <row r="122" spans="1:20">
      <c r="A122" s="2">
        <v>44166</v>
      </c>
      <c r="B122">
        <f t="shared" si="11"/>
        <v>2020</v>
      </c>
      <c r="C122">
        <f t="shared" si="12"/>
        <v>12</v>
      </c>
      <c r="D122" s="69">
        <v>28015587.036144584</v>
      </c>
      <c r="E122" s="69">
        <v>1392643.6565677822</v>
      </c>
      <c r="F122" s="69">
        <v>29408230.692712367</v>
      </c>
      <c r="G122" s="63">
        <v>505.3</v>
      </c>
      <c r="H122" s="63">
        <v>0</v>
      </c>
      <c r="I122" s="66">
        <f t="shared" si="19"/>
        <v>499.7842105263162</v>
      </c>
      <c r="J122" s="66">
        <f t="shared" si="19"/>
        <v>0</v>
      </c>
      <c r="K122" s="25">
        <v>31</v>
      </c>
      <c r="L122" s="25">
        <v>0</v>
      </c>
      <c r="M122" s="25">
        <v>0</v>
      </c>
      <c r="N122" s="30">
        <v>38063</v>
      </c>
      <c r="O122" s="87">
        <v>505.3</v>
      </c>
      <c r="P122" s="59">
        <v>0</v>
      </c>
      <c r="Q122" s="25">
        <f t="shared" si="16"/>
        <v>29366094.762484197</v>
      </c>
      <c r="R122" s="65">
        <f t="shared" si="13"/>
        <v>27973451.105916414</v>
      </c>
      <c r="S122" s="25">
        <f t="shared" si="14"/>
        <v>-42135.930228170007</v>
      </c>
      <c r="T122" s="38">
        <f t="shared" si="15"/>
        <v>1.4327937871696471E-3</v>
      </c>
    </row>
    <row r="123" spans="1:20">
      <c r="A123" s="2">
        <v>44197</v>
      </c>
      <c r="B123">
        <f t="shared" si="11"/>
        <v>2021</v>
      </c>
      <c r="C123">
        <f t="shared" si="12"/>
        <v>1</v>
      </c>
      <c r="D123" s="69">
        <v>32091025.21445784</v>
      </c>
      <c r="E123" s="69">
        <v>1381348.8588926599</v>
      </c>
      <c r="F123" s="69">
        <v>33472374.0733505</v>
      </c>
      <c r="G123" s="63">
        <v>577.99999999999989</v>
      </c>
      <c r="H123" s="63">
        <v>0</v>
      </c>
      <c r="I123" s="66">
        <f t="shared" si="19"/>
        <v>619.82052631578927</v>
      </c>
      <c r="J123" s="66">
        <f t="shared" si="19"/>
        <v>0</v>
      </c>
      <c r="K123" s="25">
        <v>31</v>
      </c>
      <c r="L123" s="25">
        <v>0</v>
      </c>
      <c r="M123" s="25">
        <v>0</v>
      </c>
      <c r="N123" s="30">
        <v>38101</v>
      </c>
      <c r="O123" s="87">
        <v>577.99999999999989</v>
      </c>
      <c r="P123" s="59">
        <v>0</v>
      </c>
      <c r="Q123" s="25">
        <f t="shared" si="16"/>
        <v>33791847.248923071</v>
      </c>
      <c r="R123" s="65">
        <f t="shared" si="13"/>
        <v>32410498.39003041</v>
      </c>
      <c r="S123" s="25">
        <f t="shared" si="14"/>
        <v>319473.17557257041</v>
      </c>
      <c r="T123" s="38">
        <f t="shared" si="15"/>
        <v>9.5443835227368434E-3</v>
      </c>
    </row>
    <row r="124" spans="1:20">
      <c r="A124" s="2">
        <v>44228</v>
      </c>
      <c r="B124">
        <f t="shared" si="11"/>
        <v>2021</v>
      </c>
      <c r="C124">
        <f t="shared" si="12"/>
        <v>2</v>
      </c>
      <c r="D124" s="69">
        <v>30522858.187951799</v>
      </c>
      <c r="E124" s="69">
        <v>1381348.8588926599</v>
      </c>
      <c r="F124" s="69">
        <v>31904207.04684446</v>
      </c>
      <c r="G124" s="63">
        <v>597.70000000000005</v>
      </c>
      <c r="H124" s="63">
        <v>0</v>
      </c>
      <c r="I124" s="66">
        <f t="shared" si="19"/>
        <v>570.53578947368419</v>
      </c>
      <c r="J124" s="66">
        <f t="shared" si="19"/>
        <v>0</v>
      </c>
      <c r="K124" s="25">
        <v>28</v>
      </c>
      <c r="L124" s="25">
        <v>0</v>
      </c>
      <c r="M124" s="25">
        <v>0</v>
      </c>
      <c r="N124" s="30">
        <v>38138</v>
      </c>
      <c r="O124" s="87">
        <v>597.70000000000005</v>
      </c>
      <c r="P124" s="59">
        <v>0</v>
      </c>
      <c r="Q124" s="25">
        <f t="shared" si="16"/>
        <v>31696695.631678756</v>
      </c>
      <c r="R124" s="65">
        <f t="shared" si="13"/>
        <v>30315346.772786096</v>
      </c>
      <c r="S124" s="25">
        <f t="shared" si="14"/>
        <v>-207511.41516570374</v>
      </c>
      <c r="T124" s="38">
        <f t="shared" si="15"/>
        <v>6.5042022470897928E-3</v>
      </c>
    </row>
    <row r="125" spans="1:20">
      <c r="A125" s="2">
        <v>44256</v>
      </c>
      <c r="B125">
        <f t="shared" si="11"/>
        <v>2021</v>
      </c>
      <c r="C125">
        <f t="shared" si="12"/>
        <v>3</v>
      </c>
      <c r="D125" s="69">
        <v>26534307.575903594</v>
      </c>
      <c r="E125" s="69">
        <v>1381348.8588926599</v>
      </c>
      <c r="F125" s="69">
        <v>27915656.434796255</v>
      </c>
      <c r="G125" s="63">
        <v>398.70000000000005</v>
      </c>
      <c r="H125" s="63">
        <v>0</v>
      </c>
      <c r="I125" s="66">
        <f t="shared" si="19"/>
        <v>461.49315789473712</v>
      </c>
      <c r="J125" s="66">
        <f t="shared" si="19"/>
        <v>0.17368421052631611</v>
      </c>
      <c r="K125" s="25">
        <v>31</v>
      </c>
      <c r="L125" s="25">
        <v>1</v>
      </c>
      <c r="M125" s="25">
        <v>0</v>
      </c>
      <c r="N125" s="30">
        <v>38255</v>
      </c>
      <c r="O125" s="87">
        <v>398.70000000000005</v>
      </c>
      <c r="P125" s="59">
        <v>0</v>
      </c>
      <c r="Q125" s="25">
        <f t="shared" si="16"/>
        <v>28404396.872952808</v>
      </c>
      <c r="R125" s="65">
        <f t="shared" si="13"/>
        <v>27023048.014060147</v>
      </c>
      <c r="S125" s="25">
        <f t="shared" si="14"/>
        <v>488740.43815655261</v>
      </c>
      <c r="T125" s="38">
        <f t="shared" si="15"/>
        <v>1.7507753733039512E-2</v>
      </c>
    </row>
    <row r="126" spans="1:20">
      <c r="A126" s="2">
        <v>44287</v>
      </c>
      <c r="B126">
        <f t="shared" si="11"/>
        <v>2021</v>
      </c>
      <c r="C126">
        <f t="shared" si="12"/>
        <v>4</v>
      </c>
      <c r="D126" s="69">
        <v>24380831.836144578</v>
      </c>
      <c r="E126" s="69">
        <v>1381348.8588926599</v>
      </c>
      <c r="F126" s="69">
        <v>25762180.695037238</v>
      </c>
      <c r="G126" s="63">
        <v>242.4</v>
      </c>
      <c r="H126" s="63">
        <v>0</v>
      </c>
      <c r="I126" s="66">
        <f t="shared" si="19"/>
        <v>285.02368421052643</v>
      </c>
      <c r="J126" s="66">
        <f t="shared" si="19"/>
        <v>0</v>
      </c>
      <c r="K126" s="25">
        <f t="shared" ref="K126:L141" si="20">K78</f>
        <v>30</v>
      </c>
      <c r="L126" s="25">
        <v>1</v>
      </c>
      <c r="M126" s="25">
        <v>0</v>
      </c>
      <c r="N126" s="30">
        <v>38336</v>
      </c>
      <c r="O126" s="87">
        <v>242.4</v>
      </c>
      <c r="P126" s="59">
        <v>0</v>
      </c>
      <c r="Q126" s="25">
        <f t="shared" si="16"/>
        <v>26087789.312358681</v>
      </c>
      <c r="R126" s="65">
        <f t="shared" si="13"/>
        <v>24706440.453466021</v>
      </c>
      <c r="S126" s="25">
        <f t="shared" si="14"/>
        <v>325608.61732144281</v>
      </c>
      <c r="T126" s="38">
        <f t="shared" si="15"/>
        <v>1.2639016128947781E-2</v>
      </c>
    </row>
    <row r="127" spans="1:20">
      <c r="A127" s="2">
        <v>44317</v>
      </c>
      <c r="B127">
        <f t="shared" si="11"/>
        <v>2021</v>
      </c>
      <c r="C127">
        <f t="shared" si="12"/>
        <v>5</v>
      </c>
      <c r="D127" s="69">
        <v>26420547.893975921</v>
      </c>
      <c r="E127" s="69">
        <v>1381348.8588926599</v>
      </c>
      <c r="F127" s="69">
        <v>27801896.752868582</v>
      </c>
      <c r="G127" s="63">
        <v>118.79999999999998</v>
      </c>
      <c r="H127" s="63">
        <v>44.499999999999986</v>
      </c>
      <c r="I127" s="66">
        <f t="shared" si="19"/>
        <v>92.127894736842109</v>
      </c>
      <c r="J127" s="66">
        <f t="shared" si="19"/>
        <v>50.712631578947821</v>
      </c>
      <c r="K127" s="25">
        <f t="shared" si="20"/>
        <v>31</v>
      </c>
      <c r="L127" s="25">
        <v>1</v>
      </c>
      <c r="M127" s="25">
        <v>0</v>
      </c>
      <c r="N127" s="30">
        <v>38428</v>
      </c>
      <c r="O127" s="87">
        <v>118.79999999999998</v>
      </c>
      <c r="P127" s="59">
        <v>44.499999999999986</v>
      </c>
      <c r="Q127" s="25">
        <f t="shared" si="16"/>
        <v>27922011.781050328</v>
      </c>
      <c r="R127" s="65">
        <f t="shared" si="13"/>
        <v>26540662.922157668</v>
      </c>
      <c r="S127" s="25">
        <f t="shared" si="14"/>
        <v>120115.0281817466</v>
      </c>
      <c r="T127" s="38">
        <f t="shared" si="15"/>
        <v>4.3203896931727588E-3</v>
      </c>
    </row>
    <row r="128" spans="1:20">
      <c r="A128" s="2">
        <v>44348</v>
      </c>
      <c r="B128">
        <f t="shared" si="11"/>
        <v>2021</v>
      </c>
      <c r="C128">
        <f t="shared" si="12"/>
        <v>6</v>
      </c>
      <c r="D128" s="69">
        <v>35429511.624096349</v>
      </c>
      <c r="E128" s="69">
        <v>1381348.8588926599</v>
      </c>
      <c r="F128" s="69">
        <v>36810860.482989006</v>
      </c>
      <c r="G128" s="63">
        <v>1.1999999999999993</v>
      </c>
      <c r="H128" s="63">
        <v>176.20000000000005</v>
      </c>
      <c r="I128" s="66">
        <f t="shared" si="19"/>
        <v>6.5805263157894842</v>
      </c>
      <c r="J128" s="66">
        <f t="shared" si="19"/>
        <v>122.87210526315789</v>
      </c>
      <c r="K128" s="25">
        <v>30</v>
      </c>
      <c r="L128" s="25">
        <v>0</v>
      </c>
      <c r="M128" s="25">
        <v>0</v>
      </c>
      <c r="N128" s="30">
        <v>38487</v>
      </c>
      <c r="O128" s="87">
        <v>1.1999999999999993</v>
      </c>
      <c r="P128" s="59">
        <v>176.20000000000005</v>
      </c>
      <c r="Q128" s="25">
        <f t="shared" si="16"/>
        <v>34071956.837461963</v>
      </c>
      <c r="R128" s="65">
        <f t="shared" si="13"/>
        <v>32690607.978569303</v>
      </c>
      <c r="S128" s="25">
        <f t="shared" si="14"/>
        <v>-2738903.6455270424</v>
      </c>
      <c r="T128" s="38">
        <f t="shared" si="15"/>
        <v>7.4404771026549119E-2</v>
      </c>
    </row>
    <row r="129" spans="1:23">
      <c r="A129" s="2">
        <v>44378</v>
      </c>
      <c r="B129">
        <f t="shared" si="11"/>
        <v>2021</v>
      </c>
      <c r="C129">
        <f t="shared" si="12"/>
        <v>7</v>
      </c>
      <c r="D129" s="69">
        <v>37354488.337349385</v>
      </c>
      <c r="E129" s="69">
        <v>1381348.8588926599</v>
      </c>
      <c r="F129" s="69">
        <v>38735837.196242042</v>
      </c>
      <c r="G129" s="63">
        <v>0</v>
      </c>
      <c r="H129" s="63">
        <v>166.3</v>
      </c>
      <c r="I129" s="66">
        <f t="shared" si="19"/>
        <v>0</v>
      </c>
      <c r="J129" s="66">
        <f t="shared" si="19"/>
        <v>211.7568421052631</v>
      </c>
      <c r="K129" s="25">
        <v>31</v>
      </c>
      <c r="L129" s="25">
        <v>0</v>
      </c>
      <c r="M129" s="25">
        <v>0</v>
      </c>
      <c r="N129" s="30">
        <v>38553</v>
      </c>
      <c r="O129" s="87">
        <v>0</v>
      </c>
      <c r="P129" s="59">
        <v>166.3</v>
      </c>
      <c r="Q129" s="25">
        <f t="shared" si="16"/>
        <v>41105522.089463927</v>
      </c>
      <c r="R129" s="65">
        <f t="shared" si="13"/>
        <v>39724173.23057127</v>
      </c>
      <c r="S129" s="25">
        <f t="shared" si="14"/>
        <v>2369684.893221885</v>
      </c>
      <c r="T129" s="38">
        <f t="shared" si="15"/>
        <v>6.1175517679317899E-2</v>
      </c>
    </row>
    <row r="130" spans="1:23">
      <c r="A130" s="2">
        <v>44409</v>
      </c>
      <c r="B130">
        <f t="shared" si="11"/>
        <v>2021</v>
      </c>
      <c r="C130">
        <f t="shared" si="12"/>
        <v>8</v>
      </c>
      <c r="D130" s="69">
        <v>40364094.120481901</v>
      </c>
      <c r="E130" s="69">
        <v>1381348.8588926599</v>
      </c>
      <c r="F130" s="69">
        <v>41745442.979374558</v>
      </c>
      <c r="G130" s="63">
        <v>0</v>
      </c>
      <c r="H130" s="63">
        <v>241.4</v>
      </c>
      <c r="I130" s="66">
        <f t="shared" si="19"/>
        <v>0.34105263157894772</v>
      </c>
      <c r="J130" s="66">
        <f t="shared" si="19"/>
        <v>191.39947368421053</v>
      </c>
      <c r="K130" s="25">
        <v>31</v>
      </c>
      <c r="L130" s="25">
        <v>0</v>
      </c>
      <c r="M130" s="25">
        <v>0</v>
      </c>
      <c r="N130" s="30">
        <v>38570</v>
      </c>
      <c r="O130" s="87">
        <v>0</v>
      </c>
      <c r="P130" s="59">
        <v>241.4</v>
      </c>
      <c r="Q130" s="25">
        <f t="shared" si="16"/>
        <v>39141499.209108919</v>
      </c>
      <c r="R130" s="65">
        <f t="shared" si="13"/>
        <v>37760150.350216262</v>
      </c>
      <c r="S130" s="25">
        <f t="shared" si="14"/>
        <v>-2603943.7702656388</v>
      </c>
      <c r="T130" s="38">
        <f t="shared" si="15"/>
        <v>6.2376719096074423E-2</v>
      </c>
    </row>
    <row r="131" spans="1:23">
      <c r="A131" s="2">
        <v>44440</v>
      </c>
      <c r="B131">
        <f t="shared" si="11"/>
        <v>2021</v>
      </c>
      <c r="C131">
        <f t="shared" si="12"/>
        <v>9</v>
      </c>
      <c r="D131" s="69">
        <v>30965429.060240969</v>
      </c>
      <c r="E131" s="69">
        <v>1381348.8588926599</v>
      </c>
      <c r="F131" s="69">
        <v>32346777.91913363</v>
      </c>
      <c r="G131" s="63">
        <v>14.3</v>
      </c>
      <c r="H131" s="63">
        <v>63.599999999999994</v>
      </c>
      <c r="I131" s="66">
        <f t="shared" ref="I131:J134" si="21">I143</f>
        <v>26.567368421052606</v>
      </c>
      <c r="J131" s="66">
        <f t="shared" si="21"/>
        <v>77.107368421052627</v>
      </c>
      <c r="K131" s="25">
        <v>30</v>
      </c>
      <c r="L131" s="25">
        <v>1</v>
      </c>
      <c r="M131" s="25">
        <v>1</v>
      </c>
      <c r="N131" s="30">
        <v>38649</v>
      </c>
      <c r="O131" s="87">
        <v>14.3</v>
      </c>
      <c r="P131" s="59">
        <v>63.599999999999994</v>
      </c>
      <c r="Q131" s="25">
        <f t="shared" si="16"/>
        <v>33144635.131679833</v>
      </c>
      <c r="R131" s="65">
        <f t="shared" si="13"/>
        <v>31763286.272787172</v>
      </c>
      <c r="S131" s="25">
        <f t="shared" si="14"/>
        <v>797857.21254620329</v>
      </c>
      <c r="T131" s="38">
        <f t="shared" si="15"/>
        <v>2.466573995533132E-2</v>
      </c>
    </row>
    <row r="132" spans="1:23">
      <c r="A132" s="2">
        <v>44470</v>
      </c>
      <c r="B132">
        <f t="shared" ref="B132:B158" si="22">YEAR(A132)</f>
        <v>2021</v>
      </c>
      <c r="C132">
        <f t="shared" ref="C132:C158" si="23">MONTH(A132)</f>
        <v>10</v>
      </c>
      <c r="D132" s="69">
        <v>24701351.469879605</v>
      </c>
      <c r="E132" s="69">
        <v>1381348.8588926599</v>
      </c>
      <c r="F132" s="69">
        <v>26082700.328772265</v>
      </c>
      <c r="G132" s="63">
        <v>102.60000000000001</v>
      </c>
      <c r="H132" s="63">
        <v>24.999999999999993</v>
      </c>
      <c r="I132" s="66">
        <f t="shared" si="21"/>
        <v>154.52315789473778</v>
      </c>
      <c r="J132" s="66">
        <f t="shared" si="21"/>
        <v>10.628421052631595</v>
      </c>
      <c r="K132" s="25">
        <v>31</v>
      </c>
      <c r="L132" s="25">
        <v>1</v>
      </c>
      <c r="M132" s="25">
        <v>0</v>
      </c>
      <c r="N132" s="30">
        <v>38774</v>
      </c>
      <c r="O132" s="87">
        <v>102.60000000000001</v>
      </c>
      <c r="P132" s="59">
        <v>24.999999999999993</v>
      </c>
      <c r="Q132" s="25">
        <f t="shared" si="16"/>
        <v>25730152.355322339</v>
      </c>
      <c r="R132" s="65">
        <f t="shared" ref="R132:R158" si="24">Q132-E132</f>
        <v>24348803.496429678</v>
      </c>
      <c r="S132" s="25">
        <f t="shared" ref="S132:S158" si="25">+Q132-F132</f>
        <v>-352547.97344992682</v>
      </c>
      <c r="T132" s="38">
        <f t="shared" ref="T132:T134" si="26">ABS(S132/F132)</f>
        <v>1.3516544261371022E-2</v>
      </c>
    </row>
    <row r="133" spans="1:23">
      <c r="A133" s="2">
        <v>44501</v>
      </c>
      <c r="B133">
        <f t="shared" si="22"/>
        <v>2021</v>
      </c>
      <c r="C133">
        <f t="shared" si="23"/>
        <v>11</v>
      </c>
      <c r="D133" s="69">
        <v>23015449.214457814</v>
      </c>
      <c r="E133" s="69">
        <v>1381348.8588926599</v>
      </c>
      <c r="F133" s="69">
        <v>24396798.073350474</v>
      </c>
      <c r="G133" s="63">
        <v>353.7</v>
      </c>
      <c r="H133" s="63">
        <v>0</v>
      </c>
      <c r="I133" s="66">
        <f t="shared" si="21"/>
        <v>363.9931578947369</v>
      </c>
      <c r="J133" s="66">
        <f t="shared" si="21"/>
        <v>1.8421052631579116E-2</v>
      </c>
      <c r="K133" s="25">
        <f t="shared" ref="K133:K134" si="27">K85</f>
        <v>30</v>
      </c>
      <c r="L133" s="25">
        <v>1</v>
      </c>
      <c r="M133" s="25">
        <v>0</v>
      </c>
      <c r="N133" s="30">
        <v>38781</v>
      </c>
      <c r="O133" s="87">
        <v>353.7</v>
      </c>
      <c r="P133" s="59">
        <v>0</v>
      </c>
      <c r="Q133" s="25">
        <f t="shared" si="16"/>
        <v>24476389.323816318</v>
      </c>
      <c r="R133" s="65">
        <f t="shared" si="24"/>
        <v>23095040.464923657</v>
      </c>
      <c r="S133" s="25">
        <f t="shared" si="25"/>
        <v>79591.250465843827</v>
      </c>
      <c r="T133" s="38">
        <f t="shared" si="26"/>
        <v>3.2623646031970195E-3</v>
      </c>
    </row>
    <row r="134" spans="1:23">
      <c r="A134" s="2">
        <v>44531</v>
      </c>
      <c r="B134">
        <f t="shared" si="22"/>
        <v>2021</v>
      </c>
      <c r="C134">
        <f t="shared" si="23"/>
        <v>12</v>
      </c>
      <c r="D134" s="69">
        <v>28628265.918072276</v>
      </c>
      <c r="E134" s="69">
        <v>1381348.8588926599</v>
      </c>
      <c r="F134" s="69">
        <v>30009614.776964936</v>
      </c>
      <c r="G134" s="63">
        <v>443.4</v>
      </c>
      <c r="H134" s="63">
        <v>0</v>
      </c>
      <c r="I134" s="66">
        <f t="shared" si="21"/>
        <v>499.7842105263162</v>
      </c>
      <c r="J134" s="66">
        <f t="shared" si="21"/>
        <v>0</v>
      </c>
      <c r="K134" s="25">
        <f t="shared" si="27"/>
        <v>31</v>
      </c>
      <c r="L134" s="25">
        <v>0</v>
      </c>
      <c r="M134" s="25">
        <v>0</v>
      </c>
      <c r="N134" s="30">
        <v>38823</v>
      </c>
      <c r="O134" s="87">
        <v>443.4</v>
      </c>
      <c r="P134" s="59">
        <v>0</v>
      </c>
      <c r="Q134" s="25">
        <f t="shared" ref="Q134" si="28">F134+(I134-G134)*$V$19+(J134-H134)*$V$20</f>
        <v>30440342.086635202</v>
      </c>
      <c r="R134" s="65">
        <f t="shared" si="24"/>
        <v>29058993.227742542</v>
      </c>
      <c r="S134" s="25">
        <f t="shared" si="25"/>
        <v>430727.30967026576</v>
      </c>
      <c r="T134" s="38">
        <f t="shared" si="26"/>
        <v>1.4352976966598301E-2</v>
      </c>
      <c r="U134" s="22" t="s">
        <v>4</v>
      </c>
    </row>
    <row r="135" spans="1:23">
      <c r="A135" s="2">
        <v>44562</v>
      </c>
      <c r="B135">
        <f t="shared" si="22"/>
        <v>2022</v>
      </c>
      <c r="C135">
        <f t="shared" si="23"/>
        <v>1</v>
      </c>
      <c r="D135" s="69"/>
      <c r="E135" s="69">
        <v>1378205.8244644934</v>
      </c>
      <c r="F135" s="69"/>
      <c r="G135" s="66">
        <v>619.82052631578927</v>
      </c>
      <c r="H135" s="66">
        <v>0</v>
      </c>
      <c r="I135" s="66">
        <f>G135</f>
        <v>619.82052631578927</v>
      </c>
      <c r="J135" s="66">
        <f t="shared" ref="I135:J157" si="29">H135</f>
        <v>0</v>
      </c>
      <c r="K135" s="25">
        <f t="shared" si="20"/>
        <v>31</v>
      </c>
      <c r="L135" s="25">
        <f t="shared" si="20"/>
        <v>0</v>
      </c>
      <c r="M135" s="25">
        <f>M123</f>
        <v>0</v>
      </c>
      <c r="N135" s="67">
        <v>38885.5</v>
      </c>
      <c r="O135" s="73">
        <f>G135*U135</f>
        <v>464.86539473684195</v>
      </c>
      <c r="P135" s="77">
        <f>H135*U135</f>
        <v>0</v>
      </c>
      <c r="Q135" s="25">
        <f>$V$18+G135*$V$19+H135*$V$20+K135*$V$21+L135*$V$22+M135*$V$23+N135*$V$24</f>
        <v>32268231.880771287</v>
      </c>
      <c r="R135" s="65">
        <f t="shared" si="24"/>
        <v>30890026.056306794</v>
      </c>
      <c r="S135" s="25">
        <f t="shared" si="25"/>
        <v>32268231.880771287</v>
      </c>
      <c r="T135" s="38"/>
      <c r="U135" s="76">
        <f>Residential!S135</f>
        <v>0.75</v>
      </c>
    </row>
    <row r="136" spans="1:23">
      <c r="A136" s="2">
        <v>44593</v>
      </c>
      <c r="B136">
        <f t="shared" si="22"/>
        <v>2022</v>
      </c>
      <c r="C136">
        <f t="shared" si="23"/>
        <v>2</v>
      </c>
      <c r="D136" s="69"/>
      <c r="E136" s="69">
        <f>E135</f>
        <v>1378205.8244644934</v>
      </c>
      <c r="F136" s="69"/>
      <c r="G136" s="66">
        <v>570.53578947368419</v>
      </c>
      <c r="H136" s="66">
        <v>0</v>
      </c>
      <c r="I136" s="66">
        <f t="shared" si="29"/>
        <v>570.53578947368419</v>
      </c>
      <c r="J136" s="66">
        <f t="shared" si="29"/>
        <v>0</v>
      </c>
      <c r="K136" s="25">
        <f t="shared" si="20"/>
        <v>28</v>
      </c>
      <c r="L136" s="25">
        <f t="shared" si="20"/>
        <v>0</v>
      </c>
      <c r="M136" s="25">
        <f t="shared" ref="M136:M158" si="30">M124</f>
        <v>0</v>
      </c>
      <c r="N136" s="67">
        <v>38948</v>
      </c>
      <c r="O136" s="73">
        <f t="shared" ref="O136:O158" si="31">G136*U136</f>
        <v>427.90184210526314</v>
      </c>
      <c r="P136" s="77">
        <f t="shared" ref="P136:P158" si="32">H136*U136</f>
        <v>0</v>
      </c>
      <c r="Q136" s="25">
        <f t="shared" ref="Q136:Q158" si="33">$V$18+G136*$V$19+H136*$V$20+K136*$V$21+L136*$V$22+M136*$V$23+N136*$V$24</f>
        <v>29643847.239691138</v>
      </c>
      <c r="R136" s="65">
        <f t="shared" si="24"/>
        <v>28265641.415226646</v>
      </c>
      <c r="S136" s="25">
        <f t="shared" si="25"/>
        <v>29643847.239691138</v>
      </c>
      <c r="T136" s="38"/>
      <c r="U136" s="76">
        <f>Residential!S136</f>
        <v>0.75</v>
      </c>
    </row>
    <row r="137" spans="1:23">
      <c r="A137" s="2">
        <v>44621</v>
      </c>
      <c r="B137">
        <f t="shared" si="22"/>
        <v>2022</v>
      </c>
      <c r="C137">
        <f t="shared" si="23"/>
        <v>3</v>
      </c>
      <c r="D137" s="69"/>
      <c r="E137" s="69">
        <f t="shared" ref="E137:E146" si="34">E136</f>
        <v>1378205.8244644934</v>
      </c>
      <c r="F137" s="69"/>
      <c r="G137" s="66">
        <v>461.49315789473712</v>
      </c>
      <c r="H137" s="66">
        <v>0.17368421052631611</v>
      </c>
      <c r="I137" s="66">
        <f t="shared" si="29"/>
        <v>461.49315789473712</v>
      </c>
      <c r="J137" s="66">
        <f t="shared" si="29"/>
        <v>0.17368421052631611</v>
      </c>
      <c r="K137" s="25">
        <f t="shared" si="20"/>
        <v>31</v>
      </c>
      <c r="L137" s="25">
        <f t="shared" si="20"/>
        <v>1</v>
      </c>
      <c r="M137" s="25">
        <f t="shared" si="30"/>
        <v>0</v>
      </c>
      <c r="N137" s="67">
        <v>39010.5</v>
      </c>
      <c r="O137" s="73">
        <f t="shared" si="31"/>
        <v>346.11986842105284</v>
      </c>
      <c r="P137" s="77">
        <f t="shared" si="32"/>
        <v>0.13026315789473708</v>
      </c>
      <c r="Q137" s="25">
        <f t="shared" si="33"/>
        <v>27722129.830395591</v>
      </c>
      <c r="R137" s="65">
        <f t="shared" si="24"/>
        <v>26343924.005931098</v>
      </c>
      <c r="S137" s="25">
        <f t="shared" si="25"/>
        <v>27722129.830395591</v>
      </c>
      <c r="T137" s="38"/>
      <c r="U137" s="76">
        <f>Residential!S137</f>
        <v>0.75</v>
      </c>
    </row>
    <row r="138" spans="1:23">
      <c r="A138" s="2">
        <v>44652</v>
      </c>
      <c r="B138">
        <f t="shared" si="22"/>
        <v>2022</v>
      </c>
      <c r="C138">
        <f t="shared" si="23"/>
        <v>4</v>
      </c>
      <c r="D138" s="69"/>
      <c r="E138" s="69">
        <f t="shared" si="34"/>
        <v>1378205.8244644934</v>
      </c>
      <c r="F138" s="69"/>
      <c r="G138" s="66">
        <v>285.02368421052643</v>
      </c>
      <c r="H138" s="66">
        <v>0</v>
      </c>
      <c r="I138" s="66">
        <f t="shared" si="29"/>
        <v>285.02368421052643</v>
      </c>
      <c r="J138" s="66">
        <f t="shared" si="29"/>
        <v>0</v>
      </c>
      <c r="K138" s="25">
        <f t="shared" si="20"/>
        <v>30</v>
      </c>
      <c r="L138" s="25">
        <f t="shared" si="20"/>
        <v>1</v>
      </c>
      <c r="M138" s="25">
        <f t="shared" si="30"/>
        <v>0</v>
      </c>
      <c r="N138" s="67">
        <v>39073</v>
      </c>
      <c r="O138" s="73">
        <f t="shared" si="31"/>
        <v>213.76776315789482</v>
      </c>
      <c r="P138" s="77">
        <f t="shared" si="32"/>
        <v>0</v>
      </c>
      <c r="Q138" s="25">
        <f t="shared" si="33"/>
        <v>25646367.041115515</v>
      </c>
      <c r="R138" s="65">
        <f t="shared" si="24"/>
        <v>24268161.216651022</v>
      </c>
      <c r="S138" s="25">
        <f t="shared" si="25"/>
        <v>25646367.041115515</v>
      </c>
      <c r="T138" s="38"/>
      <c r="U138" s="76">
        <f>Residential!S138</f>
        <v>0.75</v>
      </c>
    </row>
    <row r="139" spans="1:23">
      <c r="A139" s="2">
        <v>44682</v>
      </c>
      <c r="B139">
        <f t="shared" si="22"/>
        <v>2022</v>
      </c>
      <c r="C139">
        <f t="shared" si="23"/>
        <v>5</v>
      </c>
      <c r="D139" s="69"/>
      <c r="E139" s="69">
        <f t="shared" si="34"/>
        <v>1378205.8244644934</v>
      </c>
      <c r="F139" s="69"/>
      <c r="G139" s="66">
        <v>92.127894736842109</v>
      </c>
      <c r="H139" s="66">
        <v>50.712631578947821</v>
      </c>
      <c r="I139" s="66">
        <f t="shared" si="29"/>
        <v>92.127894736842109</v>
      </c>
      <c r="J139" s="66">
        <f t="shared" si="29"/>
        <v>50.712631578947821</v>
      </c>
      <c r="K139" s="25">
        <f t="shared" si="20"/>
        <v>31</v>
      </c>
      <c r="L139" s="25">
        <f t="shared" si="20"/>
        <v>1</v>
      </c>
      <c r="M139" s="25">
        <f t="shared" si="30"/>
        <v>0</v>
      </c>
      <c r="N139" s="67">
        <v>39135.5</v>
      </c>
      <c r="O139" s="73">
        <f t="shared" si="31"/>
        <v>69.095921052631581</v>
      </c>
      <c r="P139" s="77">
        <f t="shared" si="32"/>
        <v>38.034473684210866</v>
      </c>
      <c r="Q139" s="25">
        <f t="shared" si="33"/>
        <v>27627105.980507754</v>
      </c>
      <c r="R139" s="65">
        <f t="shared" si="24"/>
        <v>26248900.156043261</v>
      </c>
      <c r="S139" s="25">
        <f t="shared" si="25"/>
        <v>27627105.980507754</v>
      </c>
      <c r="T139" s="38"/>
      <c r="U139" s="76">
        <f>Residential!S139</f>
        <v>0.75</v>
      </c>
    </row>
    <row r="140" spans="1:23">
      <c r="A140" s="2">
        <v>44713</v>
      </c>
      <c r="B140">
        <f t="shared" si="22"/>
        <v>2022</v>
      </c>
      <c r="C140">
        <f t="shared" si="23"/>
        <v>6</v>
      </c>
      <c r="D140" s="69"/>
      <c r="E140" s="69">
        <f t="shared" si="34"/>
        <v>1378205.8244644934</v>
      </c>
      <c r="F140" s="69"/>
      <c r="G140" s="66">
        <v>6.5805263157894842</v>
      </c>
      <c r="H140" s="66">
        <v>122.87210526315789</v>
      </c>
      <c r="I140" s="66">
        <f t="shared" si="29"/>
        <v>6.5805263157894842</v>
      </c>
      <c r="J140" s="66">
        <f t="shared" si="29"/>
        <v>122.87210526315789</v>
      </c>
      <c r="K140" s="25">
        <f t="shared" si="20"/>
        <v>30</v>
      </c>
      <c r="L140" s="25">
        <f t="shared" si="20"/>
        <v>0</v>
      </c>
      <c r="M140" s="25">
        <f t="shared" si="30"/>
        <v>0</v>
      </c>
      <c r="N140" s="67">
        <v>39198</v>
      </c>
      <c r="O140" s="73">
        <f t="shared" si="31"/>
        <v>4.9353947368421132</v>
      </c>
      <c r="P140" s="77">
        <f t="shared" si="32"/>
        <v>92.154078947368419</v>
      </c>
      <c r="Q140" s="25">
        <f t="shared" si="33"/>
        <v>33454334.297816984</v>
      </c>
      <c r="R140" s="65">
        <f t="shared" si="24"/>
        <v>32076128.473352492</v>
      </c>
      <c r="S140" s="25">
        <f t="shared" si="25"/>
        <v>33454334.297816984</v>
      </c>
      <c r="T140" s="38"/>
      <c r="U140" s="76">
        <f>Residential!S140</f>
        <v>0.75</v>
      </c>
    </row>
    <row r="141" spans="1:23">
      <c r="A141" s="2">
        <v>44743</v>
      </c>
      <c r="B141">
        <f t="shared" si="22"/>
        <v>2022</v>
      </c>
      <c r="C141">
        <f t="shared" si="23"/>
        <v>7</v>
      </c>
      <c r="D141" s="69"/>
      <c r="E141" s="69">
        <f t="shared" si="34"/>
        <v>1378205.8244644934</v>
      </c>
      <c r="F141" s="69"/>
      <c r="G141" s="66">
        <v>0</v>
      </c>
      <c r="H141" s="66">
        <v>211.7568421052631</v>
      </c>
      <c r="I141" s="66">
        <f t="shared" si="29"/>
        <v>0</v>
      </c>
      <c r="J141" s="66">
        <f t="shared" si="29"/>
        <v>211.7568421052631</v>
      </c>
      <c r="K141" s="25">
        <f t="shared" si="20"/>
        <v>31</v>
      </c>
      <c r="L141" s="25">
        <f t="shared" si="20"/>
        <v>0</v>
      </c>
      <c r="M141" s="25">
        <f t="shared" si="30"/>
        <v>0</v>
      </c>
      <c r="N141" s="67">
        <v>39260.5</v>
      </c>
      <c r="O141" s="73">
        <f t="shared" si="31"/>
        <v>0</v>
      </c>
      <c r="P141" s="77">
        <f t="shared" si="32"/>
        <v>158.81763157894733</v>
      </c>
      <c r="Q141" s="25">
        <f t="shared" si="33"/>
        <v>38848291.445324808</v>
      </c>
      <c r="R141" s="65">
        <f t="shared" si="24"/>
        <v>37470085.620860316</v>
      </c>
      <c r="S141" s="25">
        <f t="shared" si="25"/>
        <v>38848291.445324808</v>
      </c>
      <c r="T141" s="38"/>
      <c r="U141" s="76">
        <f>Residential!S141</f>
        <v>0.75</v>
      </c>
    </row>
    <row r="142" spans="1:23">
      <c r="A142" s="2">
        <v>44774</v>
      </c>
      <c r="B142">
        <f t="shared" si="22"/>
        <v>2022</v>
      </c>
      <c r="C142">
        <f t="shared" si="23"/>
        <v>8</v>
      </c>
      <c r="D142" s="69"/>
      <c r="E142" s="69">
        <f t="shared" si="34"/>
        <v>1378205.8244644934</v>
      </c>
      <c r="F142" s="69"/>
      <c r="G142" s="66">
        <v>0.34105263157894772</v>
      </c>
      <c r="H142" s="66">
        <v>191.39947368421053</v>
      </c>
      <c r="I142" s="66">
        <f t="shared" si="29"/>
        <v>0.34105263157894772</v>
      </c>
      <c r="J142" s="66">
        <f t="shared" si="29"/>
        <v>191.39947368421053</v>
      </c>
      <c r="K142" s="25">
        <f t="shared" ref="K142:L157" si="35">K94</f>
        <v>31</v>
      </c>
      <c r="L142" s="25">
        <f t="shared" si="35"/>
        <v>0</v>
      </c>
      <c r="M142" s="25">
        <f t="shared" si="30"/>
        <v>0</v>
      </c>
      <c r="N142" s="67">
        <v>39323</v>
      </c>
      <c r="O142" s="73">
        <f t="shared" si="31"/>
        <v>0.25578947368421079</v>
      </c>
      <c r="P142" s="77">
        <f t="shared" si="32"/>
        <v>143.5496052631579</v>
      </c>
      <c r="Q142" s="25">
        <f t="shared" si="33"/>
        <v>37835655.696948856</v>
      </c>
      <c r="R142" s="65">
        <f t="shared" si="24"/>
        <v>36457449.872484364</v>
      </c>
      <c r="S142" s="25">
        <f t="shared" si="25"/>
        <v>37835655.696948856</v>
      </c>
      <c r="T142" s="38"/>
      <c r="U142" s="76">
        <f>Residential!S142</f>
        <v>0.75</v>
      </c>
    </row>
    <row r="143" spans="1:23">
      <c r="A143" s="2">
        <v>44805</v>
      </c>
      <c r="B143">
        <f t="shared" si="22"/>
        <v>2022</v>
      </c>
      <c r="C143">
        <f t="shared" si="23"/>
        <v>9</v>
      </c>
      <c r="D143" s="69"/>
      <c r="E143" s="69">
        <f t="shared" si="34"/>
        <v>1378205.8244644934</v>
      </c>
      <c r="F143" s="69"/>
      <c r="G143" s="66">
        <v>26.567368421052606</v>
      </c>
      <c r="H143" s="66">
        <v>77.107368421052627</v>
      </c>
      <c r="I143" s="66">
        <f t="shared" si="29"/>
        <v>26.567368421052606</v>
      </c>
      <c r="J143" s="66">
        <f t="shared" si="29"/>
        <v>77.107368421052627</v>
      </c>
      <c r="K143" s="25">
        <f t="shared" si="35"/>
        <v>30</v>
      </c>
      <c r="L143" s="25">
        <f t="shared" si="35"/>
        <v>1</v>
      </c>
      <c r="M143" s="25">
        <f t="shared" si="30"/>
        <v>1</v>
      </c>
      <c r="N143" s="67">
        <v>39385.5</v>
      </c>
      <c r="O143" s="73">
        <f t="shared" si="31"/>
        <v>19.925526315789455</v>
      </c>
      <c r="P143" s="77">
        <f t="shared" si="32"/>
        <v>57.83052631578947</v>
      </c>
      <c r="Q143" s="25">
        <f t="shared" si="33"/>
        <v>29603531.277149089</v>
      </c>
      <c r="R143" s="65">
        <f t="shared" si="24"/>
        <v>28225325.452684596</v>
      </c>
      <c r="S143" s="25">
        <f t="shared" si="25"/>
        <v>29603531.277149089</v>
      </c>
      <c r="T143" s="38"/>
      <c r="U143" s="76">
        <f>Residential!S143</f>
        <v>0.75</v>
      </c>
    </row>
    <row r="144" spans="1:23">
      <c r="A144" s="2">
        <v>44835</v>
      </c>
      <c r="B144">
        <f t="shared" si="22"/>
        <v>2022</v>
      </c>
      <c r="C144">
        <f t="shared" si="23"/>
        <v>10</v>
      </c>
      <c r="D144" s="69"/>
      <c r="E144" s="69">
        <f t="shared" si="34"/>
        <v>1378205.8244644934</v>
      </c>
      <c r="F144" s="69"/>
      <c r="G144" s="66">
        <v>154.52315789473778</v>
      </c>
      <c r="H144" s="66">
        <v>10.628421052631595</v>
      </c>
      <c r="I144" s="66">
        <f t="shared" si="29"/>
        <v>154.52315789473778</v>
      </c>
      <c r="J144" s="66">
        <f t="shared" si="29"/>
        <v>10.628421052631595</v>
      </c>
      <c r="K144" s="25">
        <f t="shared" si="35"/>
        <v>31</v>
      </c>
      <c r="L144" s="25">
        <f t="shared" si="35"/>
        <v>1</v>
      </c>
      <c r="M144" s="25">
        <f t="shared" si="30"/>
        <v>0</v>
      </c>
      <c r="N144" s="67">
        <v>39448</v>
      </c>
      <c r="O144" s="73">
        <f t="shared" si="31"/>
        <v>115.89236842105333</v>
      </c>
      <c r="P144" s="77">
        <f t="shared" si="32"/>
        <v>7.9713157894736959</v>
      </c>
      <c r="Q144" s="25">
        <f t="shared" si="33"/>
        <v>26244132.054018825</v>
      </c>
      <c r="R144" s="65">
        <f t="shared" si="24"/>
        <v>24865926.229554333</v>
      </c>
      <c r="S144" s="25">
        <f t="shared" si="25"/>
        <v>26244132.054018825</v>
      </c>
      <c r="T144" s="38"/>
      <c r="U144" s="76">
        <f>Residential!S144</f>
        <v>0.75</v>
      </c>
      <c r="V144" s="99"/>
      <c r="W144" s="100"/>
    </row>
    <row r="145" spans="1:23">
      <c r="A145" s="2">
        <v>44866</v>
      </c>
      <c r="B145">
        <f t="shared" si="22"/>
        <v>2022</v>
      </c>
      <c r="C145">
        <f t="shared" si="23"/>
        <v>11</v>
      </c>
      <c r="D145" s="69"/>
      <c r="E145" s="69">
        <f t="shared" si="34"/>
        <v>1378205.8244644934</v>
      </c>
      <c r="F145" s="69"/>
      <c r="G145" s="66">
        <v>363.9931578947369</v>
      </c>
      <c r="H145" s="66">
        <v>1.8421052631579116E-2</v>
      </c>
      <c r="I145" s="66">
        <f t="shared" si="29"/>
        <v>363.9931578947369</v>
      </c>
      <c r="J145" s="66">
        <f t="shared" si="29"/>
        <v>1.8421052631579116E-2</v>
      </c>
      <c r="K145" s="25">
        <f t="shared" si="35"/>
        <v>30</v>
      </c>
      <c r="L145" s="25">
        <f t="shared" si="35"/>
        <v>1</v>
      </c>
      <c r="M145" s="25">
        <f t="shared" si="30"/>
        <v>0</v>
      </c>
      <c r="N145" s="67">
        <v>39510.5</v>
      </c>
      <c r="O145" s="73">
        <f t="shared" si="31"/>
        <v>272.99486842105267</v>
      </c>
      <c r="P145" s="77">
        <f t="shared" si="32"/>
        <v>1.3815789473684337E-2</v>
      </c>
      <c r="Q145" s="25">
        <f t="shared" si="33"/>
        <v>26572568.222188462</v>
      </c>
      <c r="R145" s="65">
        <f t="shared" si="24"/>
        <v>25194362.397723969</v>
      </c>
      <c r="S145" s="25">
        <f t="shared" si="25"/>
        <v>26572568.222188462</v>
      </c>
      <c r="T145" s="38"/>
      <c r="U145" s="76">
        <f>Residential!S145</f>
        <v>0.75</v>
      </c>
      <c r="V145" s="99"/>
      <c r="W145" s="100"/>
    </row>
    <row r="146" spans="1:23">
      <c r="A146" s="2">
        <v>44896</v>
      </c>
      <c r="B146">
        <f t="shared" si="22"/>
        <v>2022</v>
      </c>
      <c r="C146">
        <f t="shared" si="23"/>
        <v>12</v>
      </c>
      <c r="D146" s="69"/>
      <c r="E146" s="69">
        <f t="shared" si="34"/>
        <v>1378205.8244644934</v>
      </c>
      <c r="F146" s="69"/>
      <c r="G146" s="66">
        <v>499.7842105263162</v>
      </c>
      <c r="H146" s="66">
        <v>0</v>
      </c>
      <c r="I146" s="66">
        <f t="shared" si="29"/>
        <v>499.7842105263162</v>
      </c>
      <c r="J146" s="66">
        <f t="shared" si="29"/>
        <v>0</v>
      </c>
      <c r="K146" s="25">
        <f t="shared" si="35"/>
        <v>31</v>
      </c>
      <c r="L146" s="25">
        <f t="shared" si="35"/>
        <v>0</v>
      </c>
      <c r="M146" s="25">
        <f t="shared" si="30"/>
        <v>0</v>
      </c>
      <c r="N146" s="67">
        <v>39573</v>
      </c>
      <c r="O146" s="73">
        <f t="shared" si="31"/>
        <v>374.83815789473715</v>
      </c>
      <c r="P146" s="77">
        <f t="shared" si="32"/>
        <v>0</v>
      </c>
      <c r="Q146" s="25">
        <f t="shared" si="33"/>
        <v>31857227.533550229</v>
      </c>
      <c r="R146" s="65">
        <f t="shared" si="24"/>
        <v>30479021.709085736</v>
      </c>
      <c r="S146" s="25">
        <f t="shared" si="25"/>
        <v>31857227.533550229</v>
      </c>
      <c r="T146" s="38"/>
      <c r="U146" s="76">
        <f>Residential!S146</f>
        <v>0.75</v>
      </c>
      <c r="V146" s="99"/>
      <c r="W146" s="100"/>
    </row>
    <row r="147" spans="1:23" ht="12.75" customHeight="1">
      <c r="A147" s="2">
        <v>44927</v>
      </c>
      <c r="B147">
        <f t="shared" si="22"/>
        <v>2023</v>
      </c>
      <c r="C147">
        <f t="shared" si="23"/>
        <v>1</v>
      </c>
      <c r="D147" s="69"/>
      <c r="E147" s="69">
        <v>1371685.3096250817</v>
      </c>
      <c r="G147" s="66">
        <v>617.95248120300766</v>
      </c>
      <c r="H147" s="66">
        <v>0</v>
      </c>
      <c r="I147" s="66">
        <f t="shared" si="29"/>
        <v>617.95248120300766</v>
      </c>
      <c r="J147" s="66">
        <f t="shared" si="29"/>
        <v>0</v>
      </c>
      <c r="K147" s="25">
        <f t="shared" si="35"/>
        <v>31</v>
      </c>
      <c r="L147" s="25">
        <f t="shared" si="35"/>
        <v>0</v>
      </c>
      <c r="M147" s="25">
        <f t="shared" si="30"/>
        <v>0</v>
      </c>
      <c r="N147" s="67">
        <v>39652.166666666664</v>
      </c>
      <c r="O147" s="73">
        <f t="shared" si="31"/>
        <v>308.97624060150383</v>
      </c>
      <c r="P147" s="77">
        <f t="shared" si="32"/>
        <v>0</v>
      </c>
      <c r="Q147" s="25">
        <f t="shared" si="33"/>
        <v>32818195.704943411</v>
      </c>
      <c r="R147" s="65">
        <f t="shared" si="24"/>
        <v>31446510.395318329</v>
      </c>
      <c r="S147" s="25">
        <f t="shared" si="25"/>
        <v>32818195.704943411</v>
      </c>
      <c r="T147" s="38"/>
      <c r="U147" s="76">
        <f>Residential!S147</f>
        <v>0.5</v>
      </c>
      <c r="V147" s="23"/>
      <c r="W147" s="30"/>
    </row>
    <row r="148" spans="1:23">
      <c r="A148" s="2">
        <v>44958</v>
      </c>
      <c r="B148">
        <f t="shared" si="22"/>
        <v>2023</v>
      </c>
      <c r="C148">
        <f t="shared" si="23"/>
        <v>2</v>
      </c>
      <c r="D148" s="69"/>
      <c r="E148" s="69">
        <f>E147</f>
        <v>1371685.3096250817</v>
      </c>
      <c r="G148" s="66">
        <v>569.95157894736826</v>
      </c>
      <c r="H148" s="66">
        <v>0</v>
      </c>
      <c r="I148" s="66">
        <f t="shared" si="29"/>
        <v>569.95157894736826</v>
      </c>
      <c r="J148" s="66">
        <f t="shared" si="29"/>
        <v>0</v>
      </c>
      <c r="K148" s="25">
        <f t="shared" si="35"/>
        <v>28</v>
      </c>
      <c r="L148" s="25">
        <f t="shared" si="35"/>
        <v>0</v>
      </c>
      <c r="M148" s="25">
        <f t="shared" si="30"/>
        <v>0</v>
      </c>
      <c r="N148" s="67">
        <v>39731.333333333328</v>
      </c>
      <c r="O148" s="73">
        <f t="shared" si="31"/>
        <v>284.97578947368413</v>
      </c>
      <c r="P148" s="77">
        <f t="shared" si="32"/>
        <v>0</v>
      </c>
      <c r="Q148" s="25">
        <f t="shared" si="33"/>
        <v>30215884.424457084</v>
      </c>
      <c r="R148" s="65">
        <f t="shared" si="24"/>
        <v>28844199.114832003</v>
      </c>
      <c r="S148" s="25">
        <f t="shared" si="25"/>
        <v>30215884.424457084</v>
      </c>
      <c r="T148" s="38"/>
      <c r="U148" s="76">
        <f>Residential!S148</f>
        <v>0.5</v>
      </c>
      <c r="V148" s="23"/>
      <c r="W148" s="30"/>
    </row>
    <row r="149" spans="1:23">
      <c r="A149" s="2">
        <v>44986</v>
      </c>
      <c r="B149">
        <f t="shared" si="22"/>
        <v>2023</v>
      </c>
      <c r="C149">
        <f t="shared" si="23"/>
        <v>3</v>
      </c>
      <c r="D149" s="69"/>
      <c r="E149" s="69">
        <f t="shared" ref="E149:E158" si="36">E148</f>
        <v>1371685.3096250817</v>
      </c>
      <c r="G149" s="66">
        <v>460.13060150375986</v>
      </c>
      <c r="H149" s="66">
        <v>0.17593984962406051</v>
      </c>
      <c r="I149" s="66">
        <f t="shared" si="29"/>
        <v>460.13060150375986</v>
      </c>
      <c r="J149" s="66">
        <f t="shared" si="29"/>
        <v>0.17593984962406051</v>
      </c>
      <c r="K149" s="25">
        <f t="shared" si="35"/>
        <v>31</v>
      </c>
      <c r="L149" s="25">
        <f t="shared" si="35"/>
        <v>1</v>
      </c>
      <c r="M149" s="25">
        <f t="shared" si="30"/>
        <v>0</v>
      </c>
      <c r="N149" s="67">
        <v>39810.499999999993</v>
      </c>
      <c r="O149" s="73">
        <f t="shared" si="31"/>
        <v>230.06530075187993</v>
      </c>
      <c r="P149" s="77">
        <f t="shared" si="32"/>
        <v>8.7969924812030253E-2</v>
      </c>
      <c r="Q149" s="25">
        <f t="shared" si="33"/>
        <v>28300604.662240561</v>
      </c>
      <c r="R149" s="65">
        <f t="shared" si="24"/>
        <v>26928919.352615479</v>
      </c>
      <c r="S149" s="25">
        <f t="shared" si="25"/>
        <v>28300604.662240561</v>
      </c>
      <c r="T149" s="38"/>
      <c r="U149" s="76">
        <f>Residential!S149</f>
        <v>0.5</v>
      </c>
      <c r="V149" s="23"/>
      <c r="W149" s="30"/>
    </row>
    <row r="150" spans="1:23">
      <c r="A150" s="2">
        <v>45017</v>
      </c>
      <c r="B150">
        <f t="shared" si="22"/>
        <v>2023</v>
      </c>
      <c r="C150">
        <f t="shared" si="23"/>
        <v>4</v>
      </c>
      <c r="D150" s="69"/>
      <c r="E150" s="69">
        <f t="shared" si="36"/>
        <v>1371685.3096250817</v>
      </c>
      <c r="G150" s="66">
        <v>286.53165413533861</v>
      </c>
      <c r="H150" s="66">
        <v>0</v>
      </c>
      <c r="I150" s="66">
        <f t="shared" si="29"/>
        <v>286.53165413533861</v>
      </c>
      <c r="J150" s="66">
        <f t="shared" si="29"/>
        <v>0</v>
      </c>
      <c r="K150" s="25">
        <f t="shared" si="35"/>
        <v>30</v>
      </c>
      <c r="L150" s="25">
        <f t="shared" si="35"/>
        <v>1</v>
      </c>
      <c r="M150" s="25">
        <f t="shared" si="30"/>
        <v>0</v>
      </c>
      <c r="N150" s="67">
        <v>39889.666666666657</v>
      </c>
      <c r="O150" s="73">
        <f t="shared" si="31"/>
        <v>143.26582706766931</v>
      </c>
      <c r="P150" s="77">
        <f t="shared" si="32"/>
        <v>0</v>
      </c>
      <c r="Q150" s="25">
        <f t="shared" si="33"/>
        <v>26258918.618514545</v>
      </c>
      <c r="R150" s="65">
        <f t="shared" si="24"/>
        <v>24887233.308889464</v>
      </c>
      <c r="S150" s="25">
        <f t="shared" si="25"/>
        <v>26258918.618514545</v>
      </c>
      <c r="T150" s="38"/>
      <c r="U150" s="76">
        <f>Residential!S150</f>
        <v>0.5</v>
      </c>
      <c r="V150" s="23"/>
      <c r="W150" s="30"/>
    </row>
    <row r="151" spans="1:23">
      <c r="A151" s="2">
        <v>45047</v>
      </c>
      <c r="B151">
        <f t="shared" si="22"/>
        <v>2023</v>
      </c>
      <c r="C151">
        <f t="shared" si="23"/>
        <v>5</v>
      </c>
      <c r="D151" s="69"/>
      <c r="E151" s="69">
        <f t="shared" si="36"/>
        <v>1371685.3096250817</v>
      </c>
      <c r="G151" s="66">
        <v>91.11721804511285</v>
      </c>
      <c r="H151" s="66">
        <v>52.289548872180603</v>
      </c>
      <c r="I151" s="66">
        <f t="shared" si="29"/>
        <v>91.11721804511285</v>
      </c>
      <c r="J151" s="66">
        <f t="shared" si="29"/>
        <v>52.289548872180603</v>
      </c>
      <c r="K151" s="25">
        <f t="shared" si="35"/>
        <v>31</v>
      </c>
      <c r="L151" s="25">
        <f t="shared" si="35"/>
        <v>1</v>
      </c>
      <c r="M151" s="25">
        <f t="shared" si="30"/>
        <v>0</v>
      </c>
      <c r="N151" s="67">
        <v>39968.833333333321</v>
      </c>
      <c r="O151" s="73">
        <f t="shared" si="31"/>
        <v>45.558609022556425</v>
      </c>
      <c r="P151" s="77">
        <f t="shared" si="32"/>
        <v>26.144774436090302</v>
      </c>
      <c r="Q151" s="25">
        <f t="shared" si="33"/>
        <v>28314888.585524995</v>
      </c>
      <c r="R151" s="65">
        <f t="shared" si="24"/>
        <v>26943203.275899913</v>
      </c>
      <c r="S151" s="25">
        <f t="shared" si="25"/>
        <v>28314888.585524995</v>
      </c>
      <c r="T151" s="38"/>
      <c r="U151" s="76">
        <f>Residential!S151</f>
        <v>0.5</v>
      </c>
      <c r="V151" s="23"/>
      <c r="W151" s="30"/>
    </row>
    <row r="152" spans="1:23">
      <c r="A152" s="2">
        <v>45078</v>
      </c>
      <c r="B152">
        <f t="shared" si="22"/>
        <v>2023</v>
      </c>
      <c r="C152">
        <f t="shared" si="23"/>
        <v>6</v>
      </c>
      <c r="D152" s="69"/>
      <c r="E152" s="69">
        <f t="shared" si="36"/>
        <v>1371685.3096250817</v>
      </c>
      <c r="G152" s="66">
        <v>6.265338345864734</v>
      </c>
      <c r="H152" s="66">
        <v>123.5956390977442</v>
      </c>
      <c r="I152" s="66">
        <f t="shared" si="29"/>
        <v>6.265338345864734</v>
      </c>
      <c r="J152" s="66">
        <f t="shared" si="29"/>
        <v>123.5956390977442</v>
      </c>
      <c r="K152" s="25">
        <f t="shared" si="35"/>
        <v>30</v>
      </c>
      <c r="L152" s="25">
        <f t="shared" si="35"/>
        <v>0</v>
      </c>
      <c r="M152" s="25">
        <f t="shared" si="30"/>
        <v>0</v>
      </c>
      <c r="N152" s="67">
        <v>40047.999999999985</v>
      </c>
      <c r="O152" s="73">
        <f t="shared" si="31"/>
        <v>3.132669172932367</v>
      </c>
      <c r="P152" s="77">
        <f t="shared" si="32"/>
        <v>61.797819548872098</v>
      </c>
      <c r="Q152" s="25">
        <f t="shared" si="33"/>
        <v>34115208.552690253</v>
      </c>
      <c r="R152" s="65">
        <f t="shared" si="24"/>
        <v>32743523.243065171</v>
      </c>
      <c r="S152" s="25">
        <f t="shared" si="25"/>
        <v>34115208.552690253</v>
      </c>
      <c r="T152" s="38"/>
      <c r="U152" s="76">
        <f>Residential!S152</f>
        <v>0.5</v>
      </c>
      <c r="V152" s="23"/>
      <c r="W152" s="30"/>
    </row>
    <row r="153" spans="1:23">
      <c r="A153" s="2">
        <v>45108</v>
      </c>
      <c r="B153">
        <f t="shared" si="22"/>
        <v>2023</v>
      </c>
      <c r="C153">
        <f t="shared" si="23"/>
        <v>7</v>
      </c>
      <c r="D153" s="69"/>
      <c r="E153" s="69">
        <f t="shared" si="36"/>
        <v>1371685.3096250817</v>
      </c>
      <c r="G153" s="66">
        <v>0</v>
      </c>
      <c r="H153" s="66">
        <v>212.61368421052634</v>
      </c>
      <c r="I153" s="66">
        <f t="shared" si="29"/>
        <v>0</v>
      </c>
      <c r="J153" s="66">
        <f t="shared" si="29"/>
        <v>212.61368421052634</v>
      </c>
      <c r="K153" s="25">
        <f t="shared" si="35"/>
        <v>31</v>
      </c>
      <c r="L153" s="25">
        <f t="shared" si="35"/>
        <v>0</v>
      </c>
      <c r="M153" s="25">
        <f t="shared" si="30"/>
        <v>0</v>
      </c>
      <c r="N153" s="67">
        <v>40127.16666666665</v>
      </c>
      <c r="O153" s="73">
        <f t="shared" si="31"/>
        <v>0</v>
      </c>
      <c r="P153" s="77">
        <f t="shared" si="32"/>
        <v>106.30684210526317</v>
      </c>
      <c r="Q153" s="25">
        <f t="shared" si="33"/>
        <v>39530788.844226927</v>
      </c>
      <c r="R153" s="65">
        <f t="shared" si="24"/>
        <v>38159103.534601845</v>
      </c>
      <c r="S153" s="25">
        <f t="shared" si="25"/>
        <v>39530788.844226927</v>
      </c>
      <c r="T153" s="38"/>
      <c r="U153" s="76">
        <f>Residential!S153</f>
        <v>0.5</v>
      </c>
      <c r="V153" s="23"/>
      <c r="W153" s="30"/>
    </row>
    <row r="154" spans="1:23">
      <c r="A154" s="2">
        <v>45139</v>
      </c>
      <c r="B154">
        <f t="shared" si="22"/>
        <v>2023</v>
      </c>
      <c r="C154">
        <f t="shared" si="23"/>
        <v>8</v>
      </c>
      <c r="D154" s="69"/>
      <c r="E154" s="69">
        <f t="shared" si="36"/>
        <v>1371685.3096250817</v>
      </c>
      <c r="G154" s="66">
        <v>0.34210526315789513</v>
      </c>
      <c r="H154" s="66">
        <v>192.90609022556418</v>
      </c>
      <c r="I154" s="66">
        <f t="shared" si="29"/>
        <v>0.34210526315789513</v>
      </c>
      <c r="J154" s="66">
        <f t="shared" si="29"/>
        <v>192.90609022556418</v>
      </c>
      <c r="K154" s="25">
        <f t="shared" si="35"/>
        <v>31</v>
      </c>
      <c r="L154" s="25">
        <f t="shared" si="35"/>
        <v>0</v>
      </c>
      <c r="M154" s="25">
        <f t="shared" si="30"/>
        <v>0</v>
      </c>
      <c r="N154" s="67">
        <v>40206.333333333314</v>
      </c>
      <c r="O154" s="73">
        <f t="shared" si="31"/>
        <v>0.17105263157894757</v>
      </c>
      <c r="P154" s="77">
        <f t="shared" si="32"/>
        <v>96.453045112782092</v>
      </c>
      <c r="Q154" s="25">
        <f t="shared" si="33"/>
        <v>38564300.118836582</v>
      </c>
      <c r="R154" s="65">
        <f t="shared" si="24"/>
        <v>37192614.8092115</v>
      </c>
      <c r="S154" s="25">
        <f t="shared" si="25"/>
        <v>38564300.118836582</v>
      </c>
      <c r="T154" s="38"/>
      <c r="U154" s="76">
        <f>Residential!S154</f>
        <v>0.5</v>
      </c>
      <c r="V154" s="23"/>
      <c r="W154" s="30"/>
    </row>
    <row r="155" spans="1:23">
      <c r="A155" s="2">
        <v>45170</v>
      </c>
      <c r="B155">
        <f t="shared" si="22"/>
        <v>2023</v>
      </c>
      <c r="C155">
        <f t="shared" si="23"/>
        <v>9</v>
      </c>
      <c r="D155" s="69"/>
      <c r="E155" s="69">
        <f t="shared" si="36"/>
        <v>1371685.3096250817</v>
      </c>
      <c r="G155" s="66">
        <v>26.689022556390967</v>
      </c>
      <c r="H155" s="66">
        <v>77.126165413533826</v>
      </c>
      <c r="I155" s="66">
        <f t="shared" si="29"/>
        <v>26.689022556390967</v>
      </c>
      <c r="J155" s="66">
        <f t="shared" si="29"/>
        <v>77.126165413533826</v>
      </c>
      <c r="K155" s="25">
        <f t="shared" si="35"/>
        <v>30</v>
      </c>
      <c r="L155" s="25">
        <f t="shared" si="35"/>
        <v>1</v>
      </c>
      <c r="M155" s="25">
        <f t="shared" si="30"/>
        <v>1</v>
      </c>
      <c r="N155" s="67">
        <v>40285.499999999978</v>
      </c>
      <c r="O155" s="73">
        <f t="shared" si="31"/>
        <v>13.344511278195483</v>
      </c>
      <c r="P155" s="77">
        <f t="shared" si="32"/>
        <v>38.563082706766913</v>
      </c>
      <c r="Q155" s="25">
        <f t="shared" si="33"/>
        <v>30267802.272015296</v>
      </c>
      <c r="R155" s="65">
        <f t="shared" si="24"/>
        <v>28896116.962390214</v>
      </c>
      <c r="S155" s="25">
        <f t="shared" si="25"/>
        <v>30267802.272015296</v>
      </c>
      <c r="T155" s="38"/>
      <c r="U155" s="76">
        <f>Residential!S155</f>
        <v>0.5</v>
      </c>
      <c r="V155" s="23"/>
      <c r="W155" s="30"/>
    </row>
    <row r="156" spans="1:23">
      <c r="A156" s="2">
        <v>45200</v>
      </c>
      <c r="B156">
        <f t="shared" si="22"/>
        <v>2023</v>
      </c>
      <c r="C156">
        <f t="shared" si="23"/>
        <v>10</v>
      </c>
      <c r="D156" s="69"/>
      <c r="E156" s="69">
        <f t="shared" si="36"/>
        <v>1371685.3096250817</v>
      </c>
      <c r="G156" s="66">
        <v>152.11488721804562</v>
      </c>
      <c r="H156" s="66">
        <v>10.695413533834582</v>
      </c>
      <c r="I156" s="66">
        <f t="shared" si="29"/>
        <v>152.11488721804562</v>
      </c>
      <c r="J156" s="66">
        <f t="shared" si="29"/>
        <v>10.695413533834582</v>
      </c>
      <c r="K156" s="25">
        <f t="shared" si="35"/>
        <v>31</v>
      </c>
      <c r="L156" s="25">
        <f t="shared" si="35"/>
        <v>1</v>
      </c>
      <c r="M156" s="25">
        <f t="shared" si="30"/>
        <v>0</v>
      </c>
      <c r="N156" s="67">
        <v>40364.666666666642</v>
      </c>
      <c r="O156" s="73">
        <f t="shared" si="31"/>
        <v>76.057443609022812</v>
      </c>
      <c r="P156" s="77">
        <f t="shared" si="32"/>
        <v>5.3477067669172911</v>
      </c>
      <c r="Q156" s="25">
        <f t="shared" si="33"/>
        <v>26903854.990038849</v>
      </c>
      <c r="R156" s="65">
        <f t="shared" si="24"/>
        <v>25532169.680413768</v>
      </c>
      <c r="S156" s="25">
        <f t="shared" si="25"/>
        <v>26903854.990038849</v>
      </c>
      <c r="T156" s="38"/>
      <c r="U156" s="76">
        <f>Residential!S156</f>
        <v>0.5</v>
      </c>
      <c r="V156" s="23"/>
      <c r="W156" s="30"/>
    </row>
    <row r="157" spans="1:23">
      <c r="A157" s="2">
        <v>45231</v>
      </c>
      <c r="B157">
        <f t="shared" si="22"/>
        <v>2023</v>
      </c>
      <c r="C157">
        <f t="shared" si="23"/>
        <v>11</v>
      </c>
      <c r="D157" s="69"/>
      <c r="E157" s="69">
        <f t="shared" si="36"/>
        <v>1371685.3096250817</v>
      </c>
      <c r="G157" s="66">
        <v>364.95345864661681</v>
      </c>
      <c r="H157" s="66">
        <v>1.9699248120300883E-2</v>
      </c>
      <c r="I157" s="66">
        <f t="shared" si="29"/>
        <v>364.95345864661681</v>
      </c>
      <c r="J157" s="66">
        <f t="shared" si="29"/>
        <v>1.9699248120300883E-2</v>
      </c>
      <c r="K157" s="25">
        <f t="shared" si="35"/>
        <v>30</v>
      </c>
      <c r="L157" s="25">
        <f t="shared" si="35"/>
        <v>1</v>
      </c>
      <c r="M157" s="25">
        <f t="shared" si="30"/>
        <v>0</v>
      </c>
      <c r="N157" s="67">
        <v>40443.833333333307</v>
      </c>
      <c r="O157" s="73">
        <f t="shared" si="31"/>
        <v>182.4767293233084</v>
      </c>
      <c r="P157" s="77">
        <f t="shared" si="32"/>
        <v>9.8496240601504415E-3</v>
      </c>
      <c r="Q157" s="25">
        <f t="shared" si="33"/>
        <v>27266864.417148735</v>
      </c>
      <c r="R157" s="65">
        <f t="shared" si="24"/>
        <v>25895179.107523654</v>
      </c>
      <c r="S157" s="25">
        <f t="shared" si="25"/>
        <v>27266864.417148735</v>
      </c>
      <c r="T157" s="38"/>
      <c r="U157" s="76">
        <f>Residential!S157</f>
        <v>0.5</v>
      </c>
      <c r="V157" s="23"/>
    </row>
    <row r="158" spans="1:23">
      <c r="A158" s="2">
        <v>45261</v>
      </c>
      <c r="B158">
        <f t="shared" si="22"/>
        <v>2023</v>
      </c>
      <c r="C158">
        <f t="shared" si="23"/>
        <v>12</v>
      </c>
      <c r="D158" s="69"/>
      <c r="E158" s="69">
        <f t="shared" si="36"/>
        <v>1371685.3096250817</v>
      </c>
      <c r="G158" s="66">
        <v>496.76127819548856</v>
      </c>
      <c r="H158" s="66">
        <v>0</v>
      </c>
      <c r="I158" s="66">
        <f>G158</f>
        <v>496.76127819548856</v>
      </c>
      <c r="J158" s="66">
        <f>H158</f>
        <v>0</v>
      </c>
      <c r="K158" s="25">
        <f t="shared" ref="K158:L158" si="37">K110</f>
        <v>31</v>
      </c>
      <c r="L158" s="25">
        <f t="shared" si="37"/>
        <v>0</v>
      </c>
      <c r="M158" s="25">
        <f t="shared" si="30"/>
        <v>0</v>
      </c>
      <c r="N158" s="67">
        <v>40522.999999999971</v>
      </c>
      <c r="O158" s="73">
        <f t="shared" si="31"/>
        <v>248.38063909774428</v>
      </c>
      <c r="P158" s="77">
        <f t="shared" si="32"/>
        <v>0</v>
      </c>
      <c r="Q158" s="25">
        <f t="shared" si="33"/>
        <v>32533294.54858087</v>
      </c>
      <c r="R158" s="65">
        <f t="shared" si="24"/>
        <v>31161609.238955788</v>
      </c>
      <c r="S158" s="25">
        <f t="shared" si="25"/>
        <v>32533294.54858087</v>
      </c>
      <c r="T158" s="38"/>
      <c r="U158" s="76">
        <f>Residential!S158</f>
        <v>0.5</v>
      </c>
      <c r="V158" s="23"/>
    </row>
    <row r="159" spans="1:23">
      <c r="A159" s="2"/>
      <c r="B159" s="2"/>
      <c r="C159" s="2"/>
      <c r="D159" s="2"/>
      <c r="E159" s="2"/>
      <c r="G159" s="40"/>
      <c r="H159" s="40"/>
      <c r="I159" s="40"/>
      <c r="J159" s="40"/>
      <c r="K159" s="25"/>
      <c r="L159" s="25"/>
      <c r="M159" s="25"/>
      <c r="N159" s="44"/>
      <c r="O159" s="25"/>
      <c r="P159" s="25"/>
      <c r="Q159" s="25"/>
      <c r="R159" s="38"/>
      <c r="S159" s="25"/>
      <c r="T159" s="38"/>
    </row>
    <row r="160" spans="1:23">
      <c r="A160" s="2"/>
      <c r="B160" s="2"/>
      <c r="C160" s="2"/>
      <c r="D160" s="2"/>
      <c r="E160" s="2"/>
      <c r="G160" s="40"/>
      <c r="H160" s="40"/>
      <c r="I160" s="40"/>
      <c r="J160" s="40"/>
      <c r="K160" s="25"/>
      <c r="L160" s="25"/>
      <c r="M160" s="25"/>
      <c r="N160" s="44"/>
      <c r="O160" s="25"/>
      <c r="P160" s="25"/>
      <c r="Q160" s="25"/>
      <c r="R160" s="38"/>
      <c r="S160" s="25"/>
      <c r="T160" s="38"/>
    </row>
    <row r="161" spans="1:35">
      <c r="A161" s="2"/>
      <c r="B161" s="2"/>
      <c r="C161" s="2"/>
      <c r="D161" s="2"/>
      <c r="E161" s="2"/>
      <c r="G161" s="40"/>
      <c r="H161" s="40"/>
      <c r="I161" s="40"/>
      <c r="J161" s="40"/>
      <c r="K161" s="25"/>
      <c r="L161" s="25"/>
      <c r="M161" s="25"/>
      <c r="N161" s="44"/>
      <c r="O161" s="25"/>
      <c r="P161" s="25"/>
      <c r="Q161" s="25"/>
      <c r="R161" s="38"/>
      <c r="S161" s="25"/>
      <c r="T161" s="38"/>
    </row>
    <row r="162" spans="1:35">
      <c r="A162" s="2"/>
      <c r="B162" s="2"/>
      <c r="C162" s="2"/>
      <c r="D162" s="2"/>
      <c r="E162" s="2"/>
      <c r="G162" s="40"/>
      <c r="H162" s="40"/>
      <c r="I162" s="40"/>
      <c r="J162" s="40"/>
      <c r="K162" s="25"/>
      <c r="L162" s="25"/>
      <c r="M162" s="25"/>
      <c r="N162" s="44"/>
      <c r="O162" s="25"/>
      <c r="P162" s="25"/>
      <c r="Q162" s="25"/>
      <c r="R162" s="38"/>
      <c r="S162" s="25"/>
      <c r="T162" s="38"/>
    </row>
    <row r="163" spans="1:35">
      <c r="A163" s="2"/>
      <c r="B163" s="2"/>
      <c r="C163" s="2"/>
      <c r="D163" s="2"/>
      <c r="E163" s="2"/>
      <c r="G163" s="40"/>
      <c r="H163" s="40"/>
      <c r="I163" s="40"/>
      <c r="J163" s="22"/>
      <c r="K163" s="22"/>
      <c r="Q163" s="20"/>
    </row>
    <row r="164" spans="1:35">
      <c r="A164" s="2"/>
      <c r="B164" s="2"/>
      <c r="C164" s="2"/>
      <c r="D164" s="2"/>
      <c r="E164" s="2"/>
    </row>
    <row r="165" spans="1:35">
      <c r="A165" s="2"/>
      <c r="B165" s="2"/>
      <c r="C165" s="2"/>
      <c r="D165" s="68" t="s">
        <v>76</v>
      </c>
      <c r="E165" s="68" t="s">
        <v>58</v>
      </c>
      <c r="F165" s="29" t="s">
        <v>59</v>
      </c>
      <c r="Q165" s="61" t="s">
        <v>77</v>
      </c>
      <c r="R165" s="61" t="s">
        <v>58</v>
      </c>
      <c r="S165" s="61" t="s">
        <v>78</v>
      </c>
      <c r="T165" s="88" t="s">
        <v>94</v>
      </c>
      <c r="U165" s="88" t="s">
        <v>95</v>
      </c>
    </row>
    <row r="166" spans="1:35">
      <c r="A166" s="10">
        <v>2011</v>
      </c>
      <c r="B166" s="10"/>
      <c r="C166" s="10"/>
      <c r="D166" s="30">
        <f>SUMIF(B:B,A166,D:D)</f>
        <v>268725506.51999998</v>
      </c>
      <c r="E166" s="30">
        <f>SUMIF(B:B,A166,E:E)</f>
        <v>278492.94390389865</v>
      </c>
      <c r="F166" s="5">
        <f>SUMIF(B:B,A166,F:F)</f>
        <v>269003999.46390384</v>
      </c>
      <c r="Q166" s="5">
        <f t="shared" ref="Q166:Q177" si="38">SUMIF(B:B,A166,Q:Q)</f>
        <v>263678573.25163102</v>
      </c>
      <c r="R166" s="42">
        <v>278492.9439038987</v>
      </c>
      <c r="S166" s="42">
        <f>SUMIF(B:B,A166,R:R)</f>
        <v>263400080.30772713</v>
      </c>
      <c r="T166" s="4"/>
    </row>
    <row r="167" spans="1:35">
      <c r="A167" s="10">
        <f>A166+1</f>
        <v>2012</v>
      </c>
      <c r="B167" s="10"/>
      <c r="C167" s="10"/>
      <c r="D167" s="30">
        <f t="shared" ref="D167:D175" si="39">SUMIF(B:B,A167,D:D)</f>
        <v>281220954.64999998</v>
      </c>
      <c r="E167" s="30">
        <f t="shared" ref="E167:E176" si="40">SUMIF(B:B,A167,E:E)</f>
        <v>721831.67732693173</v>
      </c>
      <c r="F167" s="5">
        <f t="shared" ref="F167:F176" si="41">SUMIF(B:B,A167,F:F)</f>
        <v>281942786.32732689</v>
      </c>
      <c r="Q167" s="5">
        <f t="shared" si="38"/>
        <v>282441303.34975511</v>
      </c>
      <c r="R167" s="42">
        <v>721831.67732693185</v>
      </c>
      <c r="S167" s="42">
        <f t="shared" ref="S167:S178" si="42">SUMIF(B:B,A167,R:R)</f>
        <v>281719471.67242819</v>
      </c>
      <c r="T167" s="4"/>
    </row>
    <row r="168" spans="1:35">
      <c r="A168" s="10">
        <f t="shared" ref="A168:A178" si="43">A167+1</f>
        <v>2013</v>
      </c>
      <c r="B168" s="10"/>
      <c r="C168" s="10"/>
      <c r="D168" s="30">
        <f t="shared" si="39"/>
        <v>287291133.52999997</v>
      </c>
      <c r="E168" s="30">
        <f t="shared" si="40"/>
        <v>1069944.6183750697</v>
      </c>
      <c r="F168" s="5">
        <f t="shared" si="41"/>
        <v>288361078.14837503</v>
      </c>
      <c r="Q168" s="5">
        <f t="shared" si="38"/>
        <v>293189531.83564687</v>
      </c>
      <c r="R168" s="42">
        <v>1069944.6183750697</v>
      </c>
      <c r="S168" s="42">
        <f t="shared" si="42"/>
        <v>292119587.2172718</v>
      </c>
      <c r="T168" s="4"/>
    </row>
    <row r="169" spans="1:35">
      <c r="A169" s="10">
        <f t="shared" si="43"/>
        <v>2014</v>
      </c>
      <c r="D169" s="30">
        <f t="shared" si="39"/>
        <v>290591982.63</v>
      </c>
      <c r="E169" s="30">
        <f t="shared" si="40"/>
        <v>2046448.2872741346</v>
      </c>
      <c r="F169" s="5">
        <f t="shared" si="41"/>
        <v>292638430.91727418</v>
      </c>
      <c r="Q169" s="5">
        <f t="shared" si="38"/>
        <v>298905303.12549651</v>
      </c>
      <c r="R169" s="42">
        <v>2046448.2872741348</v>
      </c>
      <c r="S169" s="42">
        <f t="shared" si="42"/>
        <v>296858854.83822232</v>
      </c>
      <c r="T169" s="4"/>
    </row>
    <row r="170" spans="1:35">
      <c r="A170" s="10">
        <f t="shared" si="43"/>
        <v>2015</v>
      </c>
      <c r="B170" s="10"/>
      <c r="C170" s="10"/>
      <c r="D170" s="30">
        <f t="shared" si="39"/>
        <v>295940879.87469882</v>
      </c>
      <c r="E170" s="30">
        <f t="shared" si="40"/>
        <v>3804024.9288133155</v>
      </c>
      <c r="F170" s="5">
        <f t="shared" si="41"/>
        <v>299744904.8035121</v>
      </c>
      <c r="Q170" s="5">
        <f t="shared" si="38"/>
        <v>302667223.41233683</v>
      </c>
      <c r="R170" s="42">
        <v>3804024.9288133159</v>
      </c>
      <c r="S170" s="42">
        <f t="shared" si="42"/>
        <v>298863198.48352355</v>
      </c>
      <c r="T170" s="4"/>
      <c r="AG170" s="29"/>
      <c r="AH170" s="29"/>
      <c r="AI170" s="29"/>
    </row>
    <row r="171" spans="1:35">
      <c r="A171" s="10">
        <f t="shared" si="43"/>
        <v>2016</v>
      </c>
      <c r="D171" s="30">
        <f t="shared" si="39"/>
        <v>310749015.99036139</v>
      </c>
      <c r="E171" s="30">
        <f t="shared" si="40"/>
        <v>6041275.5090756081</v>
      </c>
      <c r="F171" s="5">
        <f t="shared" si="41"/>
        <v>316790291.49943697</v>
      </c>
      <c r="Q171" s="5">
        <f t="shared" si="38"/>
        <v>309887226.21512443</v>
      </c>
      <c r="R171" s="42">
        <v>6041275.5090756072</v>
      </c>
      <c r="S171" s="42">
        <f t="shared" si="42"/>
        <v>303845950.70604891</v>
      </c>
      <c r="T171" s="4"/>
    </row>
    <row r="172" spans="1:35">
      <c r="A172" s="10">
        <f t="shared" si="43"/>
        <v>2017</v>
      </c>
      <c r="B172" s="10"/>
      <c r="C172" s="10"/>
      <c r="D172" s="30">
        <f t="shared" si="39"/>
        <v>294253405.64819276</v>
      </c>
      <c r="E172" s="30">
        <f t="shared" si="40"/>
        <v>11501759.853604494</v>
      </c>
      <c r="F172" s="5">
        <f t="shared" si="41"/>
        <v>305755165.50179738</v>
      </c>
      <c r="Q172" s="5">
        <f t="shared" si="38"/>
        <v>311516712.94937235</v>
      </c>
      <c r="R172" s="42">
        <v>11501759.853604492</v>
      </c>
      <c r="S172" s="42">
        <f t="shared" si="42"/>
        <v>300014953.09576792</v>
      </c>
      <c r="T172" s="4"/>
    </row>
    <row r="173" spans="1:35">
      <c r="A173" s="10">
        <f t="shared" si="43"/>
        <v>2018</v>
      </c>
      <c r="D173" s="30">
        <f t="shared" si="39"/>
        <v>323623192.28915668</v>
      </c>
      <c r="E173" s="30">
        <f t="shared" si="40"/>
        <v>15382195.680825928</v>
      </c>
      <c r="F173" s="5">
        <f t="shared" si="41"/>
        <v>339005387.96998256</v>
      </c>
      <c r="Q173" s="5">
        <f t="shared" si="38"/>
        <v>332499879.21264666</v>
      </c>
      <c r="R173" s="42">
        <v>15382195.680825928</v>
      </c>
      <c r="S173" s="42">
        <f t="shared" si="42"/>
        <v>317117683.53182071</v>
      </c>
      <c r="T173" s="4"/>
    </row>
    <row r="174" spans="1:35">
      <c r="A174" s="10">
        <f t="shared" si="43"/>
        <v>2019</v>
      </c>
      <c r="B174" s="10"/>
      <c r="C174" s="10"/>
      <c r="D174" s="30">
        <f t="shared" si="39"/>
        <v>316413176.16385555</v>
      </c>
      <c r="E174" s="30">
        <f t="shared" si="40"/>
        <v>16904286.956643324</v>
      </c>
      <c r="F174" s="5">
        <f t="shared" si="41"/>
        <v>333317463.12049884</v>
      </c>
      <c r="Q174" s="5">
        <f t="shared" si="38"/>
        <v>337183879.39791667</v>
      </c>
      <c r="R174" s="42">
        <v>16904286.956643321</v>
      </c>
      <c r="S174" s="42">
        <f t="shared" si="42"/>
        <v>320279592.44127333</v>
      </c>
      <c r="T174" s="4"/>
    </row>
    <row r="175" spans="1:35">
      <c r="A175" s="10">
        <f t="shared" si="43"/>
        <v>2020</v>
      </c>
      <c r="D175" s="30">
        <f t="shared" si="39"/>
        <v>353805930.95903623</v>
      </c>
      <c r="E175" s="30">
        <f t="shared" si="40"/>
        <v>16711723.878813386</v>
      </c>
      <c r="F175" s="5">
        <f t="shared" si="41"/>
        <v>370517654.83784956</v>
      </c>
      <c r="Q175" s="5">
        <f t="shared" si="38"/>
        <v>368937340.9327777</v>
      </c>
      <c r="R175" s="42">
        <v>16711723.878813386</v>
      </c>
      <c r="S175" s="42">
        <f t="shared" si="42"/>
        <v>352225617.05396432</v>
      </c>
      <c r="T175" s="4"/>
      <c r="U175" s="5"/>
    </row>
    <row r="176" spans="1:35">
      <c r="A176" s="10">
        <f t="shared" si="43"/>
        <v>2021</v>
      </c>
      <c r="B176" s="10"/>
      <c r="C176" s="10"/>
      <c r="D176" s="30">
        <f>SUMIF(B:B,A176,D:D)</f>
        <v>360408160.45301205</v>
      </c>
      <c r="E176" s="30">
        <f t="shared" si="40"/>
        <v>16576186.306711921</v>
      </c>
      <c r="F176" s="5">
        <f t="shared" si="41"/>
        <v>376984346.75972396</v>
      </c>
      <c r="Q176" s="5">
        <f t="shared" si="38"/>
        <v>376013237.88045216</v>
      </c>
      <c r="R176" s="42">
        <v>16576186.30671192</v>
      </c>
      <c r="S176" s="42">
        <f t="shared" si="42"/>
        <v>359437051.5737403</v>
      </c>
      <c r="T176" s="4"/>
      <c r="U176" s="5"/>
    </row>
    <row r="177" spans="1:35">
      <c r="A177" s="10">
        <f t="shared" si="43"/>
        <v>2022</v>
      </c>
      <c r="B177" s="10"/>
      <c r="C177" s="10"/>
      <c r="D177" s="30"/>
      <c r="E177" s="30"/>
      <c r="Q177" s="5">
        <f t="shared" si="38"/>
        <v>367323422.49947852</v>
      </c>
      <c r="R177" s="42">
        <v>16538469.893573921</v>
      </c>
      <c r="S177" s="42">
        <f t="shared" si="42"/>
        <v>350784952.60590464</v>
      </c>
      <c r="T177" s="23">
        <f>'Rate Class Energy Model'!$C$20</f>
        <v>1186506.8036179999</v>
      </c>
      <c r="U177" s="47">
        <f>S177-T177</f>
        <v>349598445.80228662</v>
      </c>
    </row>
    <row r="178" spans="1:35">
      <c r="A178" s="10">
        <f t="shared" si="43"/>
        <v>2023</v>
      </c>
      <c r="D178" s="30"/>
      <c r="E178" s="30"/>
      <c r="L178" s="32"/>
      <c r="M178" s="32"/>
      <c r="N178" s="41"/>
      <c r="O178" s="32"/>
      <c r="P178" s="32"/>
      <c r="Q178" s="5">
        <f>SUMIF(B:B,A178,Q:Q)</f>
        <v>375090605.73921812</v>
      </c>
      <c r="R178" s="42">
        <v>16460223.715500981</v>
      </c>
      <c r="S178" s="42">
        <f t="shared" si="42"/>
        <v>358630382.02371716</v>
      </c>
      <c r="T178" s="23">
        <f>'Rate Class Energy Model'!$C$20</f>
        <v>1186506.8036179999</v>
      </c>
      <c r="U178" s="47">
        <f>S178-T178</f>
        <v>357443875.22009915</v>
      </c>
    </row>
    <row r="179" spans="1:35">
      <c r="AG179" s="29"/>
      <c r="AH179" s="29"/>
      <c r="AI179" s="29"/>
    </row>
    <row r="190" spans="1:35">
      <c r="AG190" s="29"/>
      <c r="AH190" s="29"/>
      <c r="AI190" s="29"/>
    </row>
  </sheetData>
  <mergeCells count="3">
    <mergeCell ref="A1:F1"/>
    <mergeCell ref="V144:V146"/>
    <mergeCell ref="W144:W146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20" max="1048575" man="1"/>
    <brk id="30" max="22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85632-39AE-4041-B08E-67A56AE56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643D6F-D6DF-4066-9D95-785D67DF82EB}">
  <ds:schemaRefs>
    <ds:schemaRef ds:uri="http://schemas.microsoft.com/office/2006/metadata/properties"/>
    <ds:schemaRef ds:uri="033d26b1-57eb-4b60-9c03-6b92d80595e4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f88fa1a-2dfd-460a-bd62-5264ee380b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2B0129-12BC-4410-96F8-6CA915F74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Residential</vt:lpstr>
      <vt:lpstr>Rate Class Energy Model</vt:lpstr>
      <vt:lpstr>Summary</vt:lpstr>
      <vt:lpstr>Residential (WN)</vt:lpstr>
      <vt:lpstr>Residential (WN) Trend</vt:lpstr>
      <vt:lpstr>'Rate Class Energy Model'!Print_Area</vt:lpstr>
      <vt:lpstr>Residential!Print_Area</vt:lpstr>
      <vt:lpstr>'Residential (WN)'!Print_Area</vt:lpstr>
      <vt:lpstr>'Residential (WN) Trend'!Print_Area</vt:lpstr>
      <vt:lpstr>Summary!Print_Area</vt:lpstr>
      <vt:lpstr>Res_X</vt:lpstr>
      <vt:lpstr>res_y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Bacon</dc:creator>
  <cp:keywords/>
  <dc:description/>
  <cp:lastModifiedBy>Mustapha El-Baba</cp:lastModifiedBy>
  <cp:revision/>
  <dcterms:created xsi:type="dcterms:W3CDTF">2008-02-06T18:24:44Z</dcterms:created>
  <dcterms:modified xsi:type="dcterms:W3CDTF">2022-07-21T20:58:06Z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0x0101005B227697F19F8B4DA3D5C2B74C50E32F</vt:lpwstr>
  </property>
</Properties>
</file>