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3. CoS_Models/05. Live Models - No Links/"/>
    </mc:Choice>
  </mc:AlternateContent>
  <xr:revisionPtr revIDLastSave="3" documentId="8_{A7B4D87E-4402-4736-98F0-5F52347D5F12}" xr6:coauthVersionLast="47" xr6:coauthVersionMax="47" xr10:uidLastSave="{5FD188A1-4B94-4A1C-A0A0-BB3CDBABF4B6}"/>
  <bookViews>
    <workbookView xWindow="-28920" yWindow="-45" windowWidth="29040" windowHeight="158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  <externalReference r:id="rId5"/>
  </externalReferences>
  <definedNames>
    <definedName name="_Parse_Out" localSheetId="1" hidden="1">#REF!</definedName>
    <definedName name="_Parse_Out" hidden="1">#REF!</definedName>
    <definedName name="ApprovedYr">'[1]Z1.ModelVariables'!$C$12</definedName>
    <definedName name="AS2DocOpenMode" hidden="1">"AS2DocumentEdit"</definedName>
    <definedName name="ccar">#REF!</definedName>
    <definedName name="CRLF">'[1]Z1.ModelVariables'!$C$10</definedName>
    <definedName name="CRLF2">'[1]Z1.ModelVariables'!$C$11</definedName>
    <definedName name="DeferralApprov">'[1]A1.Admin'!#REF!</definedName>
    <definedName name="EBNUMBER">'[2]LDC Info'!$E$16</definedName>
    <definedName name="FakeBlank">'[1]Z1.ModelVariables'!$C$14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ILsModel">'[1]E5.TaxResults'!$D$9</definedName>
    <definedName name="RMrelease">'[1]Z1.ModelVariables'!$C$13</definedName>
    <definedName name="TermsAccepted">#REF!</definedName>
    <definedName name="TestYr">'[1]A1.Admin'!$C$13</definedName>
    <definedName name="Years">'[1]C5.PassthruRates'!#REF!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6" i="1" l="1"/>
  <c r="H137" i="1" s="1"/>
  <c r="H247" i="1" s="1"/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M110" i="1" s="1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M98" i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52" i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<sst xmlns="http://schemas.openxmlformats.org/spreadsheetml/2006/main" count="511" uniqueCount="270">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</sst>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69" fontId="0" fillId="0" borderId="0" xfId="0" applyNumberFormat="1"/>
    <xf numFmtId="166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center"/>
    </xf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 applyFill="1"/>
    <xf numFmtId="173" fontId="0" fillId="0" borderId="0" xfId="0" applyNumberFormat="1" applyFill="1"/>
    <xf numFmtId="43" fontId="0" fillId="0" borderId="0" xfId="1" applyNumberFormat="1" applyFont="1" applyBorder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7">
    <cellStyle name="Comma" xfId="1" builtinId="3"/>
    <cellStyle name="Comma 2" xfId="5" xr:uid="{02657A76-B528-4B33-99B6-5BF7E88E1B63}"/>
    <cellStyle name="Normal" xfId="0" builtinId="0"/>
    <cellStyle name="Normal 2" xfId="4" xr:uid="{05122353-A722-4921-BC41-5455292117F9}"/>
    <cellStyle name="Normal 30" xfId="3" xr:uid="{00000000-0005-0000-0000-000002000000}"/>
    <cellStyle name="Percent" xfId="2" builtinId="5"/>
    <cellStyle name="Percent 2" xfId="6" xr:uid="{C8297C11-7923-49DA-A8BA-98029E32C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CIP/Swan%20Lake%20Pumped%20Storage%20Rate%20Model%20no%20level%20al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%20and%20Models\OEB%20Models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Swan Lake cost Summary"/>
      <sheetName val="PacifiCorp Assumptions"/>
      <sheetName val="C2.LoadForecast"/>
      <sheetName val="C3.DistRevenue"/>
      <sheetName val="C4.CommodityPrice"/>
      <sheetName val="C6.LowVoltage"/>
      <sheetName val="C7.ServiceRevenues"/>
      <sheetName val="C8.RevenueOffsets"/>
      <sheetName val="D2.Debt"/>
      <sheetName val="E1.BridgeYrPL"/>
      <sheetName val="E2.TestYrPL"/>
      <sheetName val="E3.CapitalInfo"/>
      <sheetName val="C5.PassthruRates"/>
      <sheetName val="D1.RateBase"/>
      <sheetName val="D3.CapitalStructure"/>
      <sheetName val="E4.TaxEstimate"/>
      <sheetName val="E5.TaxResults"/>
      <sheetName val="F1.RevRequirement"/>
      <sheetName val="F2.DataforCostAllocation"/>
      <sheetName val="F2.CostAllocation"/>
      <sheetName val="F5.FixedVarRevenue"/>
      <sheetName val="I1 Intro"/>
      <sheetName val="F3.RevenueAllocation"/>
      <sheetName val="F5.RateDesign"/>
      <sheetName val="F6.TotalRates"/>
      <sheetName val="F7.Financing Requirements"/>
      <sheetName val="F7.Levelized Passthrough-unused"/>
      <sheetName val="I5.1 Misc Data"/>
      <sheetName val="I5.2 Weighting Factors"/>
      <sheetName val="I7.1 Meter Capital"/>
      <sheetName val="I7.2 Meter Reading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E3 PLCC"/>
      <sheetName val="H1.RatesCheck"/>
      <sheetName val="H2.FinalRate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trend"/>
      <sheetName val="X32.RevSuffDefvariances"/>
      <sheetName val="X33.RevenueReq"/>
      <sheetName val="X91.RatesSched"/>
      <sheetName val="Assumptions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</sheetNames>
    <sheetDataSet>
      <sheetData sheetId="0" refreshError="1"/>
      <sheetData sheetId="1">
        <row r="13">
          <cell r="C13">
            <v>2028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15">
          <cell r="B115" t="str">
            <v>No Levelization</v>
          </cell>
        </row>
      </sheetData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2">
          <cell r="B2" t="str">
            <v>Swan Lake Pumped Storage ()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1900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A124"/>
  <sheetViews>
    <sheetView topLeftCell="B1" zoomScale="90" zoomScaleNormal="90" workbookViewId="0">
      <selection activeCell="H22" sqref="H22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46.5703125" style="11" customWidth="1"/>
    <col min="15" max="15" width="69.42578125" style="89" customWidth="1"/>
  </cols>
  <sheetData>
    <row r="2" spans="2:15" ht="23.25" x14ac:dyDescent="0.35">
      <c r="C2" s="291" t="s">
        <v>189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2:15" ht="19.5" customHeight="1" x14ac:dyDescent="0.25">
      <c r="C3" s="292" t="str">
        <f>IF(F5="Click to Choose an LDC","",F5)</f>
        <v>Milton Hydro Distribution Inc.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2:15" s="89" customFormat="1" ht="19.5" customHeight="1" thickBot="1" x14ac:dyDescent="0.3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264</v>
      </c>
      <c r="E5" s="75"/>
      <c r="F5" s="126" t="s">
        <v>229</v>
      </c>
      <c r="G5" s="13" t="s">
        <v>175</v>
      </c>
      <c r="H5" s="13" t="s">
        <v>176</v>
      </c>
      <c r="I5" s="13" t="s">
        <v>174</v>
      </c>
      <c r="J5" s="293" t="s">
        <v>177</v>
      </c>
      <c r="K5" s="293"/>
      <c r="L5" s="293"/>
      <c r="M5" s="293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94"/>
      <c r="I8" s="294"/>
      <c r="J8" s="294"/>
      <c r="K8" s="294"/>
      <c r="L8" s="294"/>
      <c r="M8" s="294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9705878</v>
      </c>
      <c r="H9" s="118">
        <v>10988000</v>
      </c>
      <c r="I9" s="118">
        <v>14945824.437374998</v>
      </c>
      <c r="J9" s="118">
        <v>12405568.280774999</v>
      </c>
      <c r="K9" s="118"/>
      <c r="L9" s="118"/>
      <c r="M9" s="118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10:M10" si="1">H10</f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41221</v>
      </c>
      <c r="H13" s="118">
        <v>42148.916666666664</v>
      </c>
      <c r="I13" s="118">
        <v>42939.720562770082</v>
      </c>
      <c r="J13" s="118">
        <v>43856.349756070565</v>
      </c>
      <c r="K13" s="118"/>
      <c r="L13" s="118"/>
      <c r="M13" s="118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907146501</v>
      </c>
      <c r="H14" s="118">
        <v>936433540.89398074</v>
      </c>
      <c r="I14" s="118">
        <v>892702086.57759452</v>
      </c>
      <c r="J14" s="118">
        <v>903810993.91211641</v>
      </c>
      <c r="K14" s="118"/>
      <c r="L14" s="118"/>
      <c r="M14" s="118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194762</v>
      </c>
      <c r="H15" s="118">
        <v>190209.7</v>
      </c>
      <c r="I15" s="118">
        <v>181326.90539383661</v>
      </c>
      <c r="J15" s="118">
        <v>183583.36230097598</v>
      </c>
      <c r="K15" s="118"/>
      <c r="L15" s="118"/>
      <c r="M15" s="118"/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2767</v>
      </c>
      <c r="H16" s="118">
        <v>2814</v>
      </c>
      <c r="I16" s="118">
        <v>2863</v>
      </c>
      <c r="J16" s="118">
        <v>2914</v>
      </c>
      <c r="K16" s="118"/>
      <c r="L16" s="118"/>
      <c r="M16" s="118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0.41448768101022582</v>
      </c>
      <c r="H17" s="260">
        <v>0.39784652035607571</v>
      </c>
      <c r="I17" s="260">
        <v>0.34411320419660796</v>
      </c>
      <c r="J17" s="260">
        <v>0.29389888793705854</v>
      </c>
      <c r="K17" s="260"/>
      <c r="L17" s="260"/>
      <c r="M17" s="260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94"/>
      <c r="I19" s="294"/>
      <c r="J19" s="294"/>
      <c r="K19" s="294"/>
      <c r="L19" s="294"/>
      <c r="M19" s="294"/>
    </row>
    <row r="20" spans="2:15" ht="15" customHeight="1" x14ac:dyDescent="0.2">
      <c r="B20" s="2">
        <v>8</v>
      </c>
      <c r="C20" s="37"/>
      <c r="D20" s="74" t="s">
        <v>166</v>
      </c>
      <c r="F20" s="75"/>
      <c r="G20" s="87">
        <v>0.02</v>
      </c>
      <c r="H20" s="117">
        <v>2.7E-2</v>
      </c>
      <c r="I20" s="117">
        <v>7.0000000000000007E-2</v>
      </c>
      <c r="J20" s="117">
        <v>0.03</v>
      </c>
      <c r="K20" s="117"/>
      <c r="L20" s="117"/>
      <c r="M20" s="117"/>
      <c r="N20" s="75" t="s">
        <v>268</v>
      </c>
      <c r="O20" s="295" t="s">
        <v>267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0.02</v>
      </c>
      <c r="H21" s="117">
        <v>2.1999999999999999E-2</v>
      </c>
      <c r="I21" s="117">
        <v>1.7000000000000001E-2</v>
      </c>
      <c r="J21" s="117">
        <v>0.03</v>
      </c>
      <c r="K21" s="117"/>
      <c r="L21" s="117"/>
      <c r="M21" s="117"/>
      <c r="N21" s="75" t="s">
        <v>268</v>
      </c>
      <c r="O21" s="295"/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5.3155999999999995E-2</v>
      </c>
      <c r="H22" s="117">
        <v>0.05</v>
      </c>
      <c r="I22" s="117">
        <v>5.4699999999999999E-2</v>
      </c>
      <c r="J22" s="117">
        <v>5.4921999999999999E-2</v>
      </c>
      <c r="K22" s="117"/>
      <c r="L22" s="117"/>
      <c r="M22" s="117"/>
      <c r="N22" s="75" t="s">
        <v>269</v>
      </c>
      <c r="O22" s="295"/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191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1" t="s">
        <v>196</v>
      </c>
      <c r="G27" s="50">
        <f>G35-G36+G37</f>
        <v>10485033</v>
      </c>
      <c r="H27" s="50">
        <f t="shared" ref="H27:M27" si="2">H35-H36+H37</f>
        <v>0</v>
      </c>
      <c r="I27" s="50">
        <f t="shared" si="2"/>
        <v>0</v>
      </c>
      <c r="J27" s="50">
        <f>J35-J36+J37</f>
        <v>0</v>
      </c>
      <c r="K27" s="50">
        <f t="shared" si="2"/>
        <v>0</v>
      </c>
      <c r="L27" s="50">
        <f t="shared" si="2"/>
        <v>0</v>
      </c>
      <c r="M27" s="50">
        <f t="shared" si="2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1" t="s">
        <v>200</v>
      </c>
      <c r="G29" s="50">
        <f>G115-G121+G122</f>
        <v>10485033</v>
      </c>
      <c r="H29" s="50">
        <f>H115-H121+H122</f>
        <v>12003297.300000001</v>
      </c>
      <c r="I29" s="50">
        <f t="shared" ref="I29:M29" si="3">I115-I121+I122</f>
        <v>12720684.290184658</v>
      </c>
      <c r="J29" s="50">
        <f t="shared" si="3"/>
        <v>14994654.144750472</v>
      </c>
      <c r="K29" s="50">
        <f t="shared" si="3"/>
        <v>0</v>
      </c>
      <c r="L29" s="50">
        <f t="shared" si="3"/>
        <v>0</v>
      </c>
      <c r="M29" s="50">
        <f t="shared" si="3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4">IF($E$27="Y",G27,IF($E$29="Y",G29,"Error: Please enter Y for one method"))</f>
        <v>10485033</v>
      </c>
      <c r="H31" s="50">
        <f>IF($E$27="Y",H27,IF($E$29="Y",H29,"Error: Please enter Y for one method"))</f>
        <v>12003297.300000001</v>
      </c>
      <c r="I31" s="50">
        <f t="shared" si="4"/>
        <v>12720684.290184658</v>
      </c>
      <c r="J31" s="50">
        <f t="shared" si="4"/>
        <v>14994654.144750472</v>
      </c>
      <c r="K31" s="50">
        <f t="shared" si="4"/>
        <v>0</v>
      </c>
      <c r="L31" s="50">
        <f t="shared" si="4"/>
        <v>0</v>
      </c>
      <c r="M31" s="50">
        <f t="shared" si="4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90" t="s">
        <v>183</v>
      </c>
      <c r="I34" s="290"/>
      <c r="J34" s="290"/>
      <c r="K34" s="290"/>
      <c r="L34" s="290"/>
      <c r="M34" s="290"/>
      <c r="N34" s="135"/>
    </row>
    <row r="35" spans="2:27" x14ac:dyDescent="0.2">
      <c r="C35" s="134"/>
      <c r="D35" s="150" t="s">
        <v>193</v>
      </c>
      <c r="E35" s="25" t="s">
        <v>201</v>
      </c>
      <c r="F35" s="25"/>
      <c r="G35" s="82">
        <f>G115</f>
        <v>10485033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195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89"/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89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89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89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0</v>
      </c>
      <c r="H44" s="123">
        <v>0</v>
      </c>
      <c r="I44" s="123">
        <v>0</v>
      </c>
      <c r="J44" s="123">
        <v>0</v>
      </c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184650</v>
      </c>
      <c r="H45" s="123">
        <v>213159.46</v>
      </c>
      <c r="I45" s="123">
        <v>247100</v>
      </c>
      <c r="J45" s="123">
        <v>1155897.2635412375</v>
      </c>
      <c r="K45" s="123"/>
      <c r="L45" s="123"/>
      <c r="M45" s="123"/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0</v>
      </c>
      <c r="H46" s="123">
        <v>0</v>
      </c>
      <c r="I46" s="123">
        <v>0</v>
      </c>
      <c r="J46" s="123">
        <v>0</v>
      </c>
      <c r="K46" s="123"/>
      <c r="L46" s="123"/>
      <c r="M46" s="123"/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>
        <v>0</v>
      </c>
      <c r="K47" s="123"/>
      <c r="L47" s="123"/>
      <c r="M47" s="123"/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>
        <v>0</v>
      </c>
      <c r="K48" s="123"/>
      <c r="L48" s="123"/>
      <c r="M48" s="123"/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17011</v>
      </c>
      <c r="H49" s="123">
        <v>81313.279999999999</v>
      </c>
      <c r="I49" s="123">
        <v>9107.8124183149466</v>
      </c>
      <c r="J49" s="123">
        <v>6921.5820722562039</v>
      </c>
      <c r="K49" s="123"/>
      <c r="L49" s="123"/>
      <c r="M49" s="123"/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76835</v>
      </c>
      <c r="H50" s="123">
        <v>221069.77000000002</v>
      </c>
      <c r="I50" s="123">
        <v>65573.443906500019</v>
      </c>
      <c r="J50" s="123">
        <v>68614.045565097505</v>
      </c>
      <c r="K50" s="123"/>
      <c r="L50" s="123"/>
      <c r="M50" s="123"/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13000</v>
      </c>
      <c r="H51" s="123">
        <v>14457.61</v>
      </c>
      <c r="I51" s="123">
        <v>7156.1383286760292</v>
      </c>
      <c r="J51" s="123">
        <v>5438.3859139155902</v>
      </c>
      <c r="K51" s="123"/>
      <c r="L51" s="123"/>
      <c r="M51" s="123"/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0</v>
      </c>
      <c r="H52" s="123">
        <v>0</v>
      </c>
      <c r="I52" s="123">
        <v>0</v>
      </c>
      <c r="J52" s="123">
        <v>0</v>
      </c>
      <c r="K52" s="123"/>
      <c r="L52" s="123"/>
      <c r="M52" s="123"/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0</v>
      </c>
      <c r="H53" s="123">
        <v>0</v>
      </c>
      <c r="I53" s="123">
        <v>0</v>
      </c>
      <c r="J53" s="123">
        <v>0</v>
      </c>
      <c r="K53" s="123"/>
      <c r="L53" s="123"/>
      <c r="M53" s="123"/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40</v>
      </c>
      <c r="H54" s="123">
        <v>0</v>
      </c>
      <c r="I54" s="123">
        <v>0</v>
      </c>
      <c r="J54" s="123">
        <v>0</v>
      </c>
      <c r="K54" s="123"/>
      <c r="L54" s="123"/>
      <c r="M54" s="123"/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338941</v>
      </c>
      <c r="H55" s="123">
        <v>379450.6</v>
      </c>
      <c r="I55" s="123">
        <v>437230</v>
      </c>
      <c r="J55" s="123">
        <v>443788.45</v>
      </c>
      <c r="K55" s="123"/>
      <c r="L55" s="123"/>
      <c r="M55" s="123"/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>
        <v>0</v>
      </c>
      <c r="I56" s="123">
        <v>0</v>
      </c>
      <c r="J56" s="123">
        <v>0</v>
      </c>
      <c r="K56" s="123"/>
      <c r="L56" s="123"/>
      <c r="M56" s="123"/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380499</v>
      </c>
      <c r="H57" s="123">
        <v>393272.87000000005</v>
      </c>
      <c r="I57" s="123">
        <v>365339.54684346955</v>
      </c>
      <c r="J57" s="123">
        <v>372694.18374114326</v>
      </c>
      <c r="K57" s="123"/>
      <c r="L57" s="123"/>
      <c r="M57" s="123"/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340138</v>
      </c>
      <c r="H58" s="123">
        <v>481296.36</v>
      </c>
      <c r="I58" s="123">
        <v>400418.46739091841</v>
      </c>
      <c r="J58" s="123">
        <v>576600.40821954911</v>
      </c>
      <c r="K58" s="123"/>
      <c r="L58" s="123"/>
      <c r="M58" s="123"/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78821</v>
      </c>
      <c r="H59" s="123">
        <v>32123.05</v>
      </c>
      <c r="I59" s="123">
        <v>0</v>
      </c>
      <c r="J59" s="123">
        <v>0</v>
      </c>
      <c r="K59" s="123"/>
      <c r="L59" s="123"/>
      <c r="M59" s="123"/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1118797</v>
      </c>
      <c r="H60" s="123">
        <v>1379107.28</v>
      </c>
      <c r="I60" s="123">
        <v>1444213.432738533</v>
      </c>
      <c r="J60" s="123">
        <v>1551957.5008474479</v>
      </c>
      <c r="K60" s="123"/>
      <c r="L60" s="123"/>
      <c r="M60" s="123"/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0</v>
      </c>
      <c r="I61" s="123">
        <v>0</v>
      </c>
      <c r="J61" s="123">
        <v>0</v>
      </c>
      <c r="K61" s="123"/>
      <c r="L61" s="123"/>
      <c r="M61" s="123"/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0</v>
      </c>
      <c r="H62" s="123">
        <v>0</v>
      </c>
      <c r="I62" s="123">
        <v>0</v>
      </c>
      <c r="J62" s="123">
        <v>0</v>
      </c>
      <c r="K62" s="123"/>
      <c r="L62" s="123"/>
      <c r="M62" s="123"/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v>0</v>
      </c>
      <c r="I63" s="123">
        <v>0</v>
      </c>
      <c r="J63" s="123">
        <v>0</v>
      </c>
      <c r="K63" s="123"/>
      <c r="L63" s="123"/>
      <c r="M63" s="123"/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2548732</v>
      </c>
      <c r="H64" s="78">
        <f>SUM(H44:H63)</f>
        <v>3195250.2800000003</v>
      </c>
      <c r="I64" s="78">
        <f t="shared" ref="I64:M64" si="5">SUM(I44:I63)</f>
        <v>2976138.8416264122</v>
      </c>
      <c r="J64" s="78">
        <f t="shared" si="5"/>
        <v>4181911.8199006468</v>
      </c>
      <c r="K64" s="78">
        <f t="shared" si="5"/>
        <v>0</v>
      </c>
      <c r="L64" s="78">
        <f t="shared" si="5"/>
        <v>0</v>
      </c>
      <c r="M64" s="78">
        <f t="shared" si="5"/>
        <v>0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v>0</v>
      </c>
      <c r="I65" s="123">
        <v>0</v>
      </c>
      <c r="J65" s="123">
        <v>0</v>
      </c>
      <c r="K65" s="123"/>
      <c r="L65" s="123"/>
      <c r="M65" s="123"/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>
        <v>0</v>
      </c>
      <c r="I66" s="123">
        <v>0</v>
      </c>
      <c r="J66" s="123">
        <v>0</v>
      </c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>
        <v>0</v>
      </c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0</v>
      </c>
      <c r="H68" s="123">
        <v>0</v>
      </c>
      <c r="I68" s="123">
        <v>0</v>
      </c>
      <c r="J68" s="123">
        <v>0</v>
      </c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144965</v>
      </c>
      <c r="H69" s="123">
        <v>259264.52</v>
      </c>
      <c r="I69" s="123">
        <v>150339.25727133651</v>
      </c>
      <c r="J69" s="123">
        <v>137205.48122869738</v>
      </c>
      <c r="K69" s="123"/>
      <c r="L69" s="123"/>
      <c r="M69" s="123"/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415073</v>
      </c>
      <c r="H70" s="123">
        <v>648773.77</v>
      </c>
      <c r="I70" s="123">
        <v>390822.28768035362</v>
      </c>
      <c r="J70" s="123">
        <v>327023.59965388221</v>
      </c>
      <c r="K70" s="123"/>
      <c r="L70" s="123"/>
      <c r="M70" s="123"/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v>0</v>
      </c>
      <c r="I71" s="123">
        <v>0</v>
      </c>
      <c r="J71" s="123">
        <v>0</v>
      </c>
      <c r="K71" s="123"/>
      <c r="L71" s="123"/>
      <c r="M71" s="123"/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473379</v>
      </c>
      <c r="H72" s="123">
        <v>213393.94</v>
      </c>
      <c r="I72" s="123">
        <v>381226.78543422266</v>
      </c>
      <c r="J72" s="123">
        <v>378981.13853344985</v>
      </c>
      <c r="K72" s="123"/>
      <c r="L72" s="123"/>
      <c r="M72" s="123"/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0</v>
      </c>
      <c r="H73" s="123">
        <v>0</v>
      </c>
      <c r="I73" s="123">
        <v>0</v>
      </c>
      <c r="J73" s="123">
        <v>0</v>
      </c>
      <c r="K73" s="123"/>
      <c r="L73" s="123"/>
      <c r="M73" s="123"/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121306</v>
      </c>
      <c r="H74" s="123">
        <v>170263.58000000002</v>
      </c>
      <c r="I74" s="123">
        <v>143081.14139832498</v>
      </c>
      <c r="J74" s="123">
        <v>129133.34347384656</v>
      </c>
      <c r="K74" s="123"/>
      <c r="L74" s="123"/>
      <c r="M74" s="123"/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0</v>
      </c>
      <c r="H75" s="123">
        <v>0</v>
      </c>
      <c r="I75" s="123">
        <v>0</v>
      </c>
      <c r="J75" s="123">
        <v>0</v>
      </c>
      <c r="K75" s="123"/>
      <c r="L75" s="123"/>
      <c r="M75" s="123"/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161041</v>
      </c>
      <c r="H76" s="123">
        <v>209202.57000000004</v>
      </c>
      <c r="I76" s="123">
        <v>215682.34337507738</v>
      </c>
      <c r="J76" s="123">
        <v>183344.63468182003</v>
      </c>
      <c r="K76" s="123"/>
      <c r="L76" s="123"/>
      <c r="M76" s="123"/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16315</v>
      </c>
      <c r="H77" s="123">
        <v>51875.119999999995</v>
      </c>
      <c r="I77" s="123">
        <v>34594.819000000003</v>
      </c>
      <c r="J77" s="123">
        <v>35113.741285000004</v>
      </c>
      <c r="K77" s="123"/>
      <c r="L77" s="123"/>
      <c r="M77" s="123"/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1332079</v>
      </c>
      <c r="H78" s="78">
        <f>SUM(H65:H77)</f>
        <v>1552773.5</v>
      </c>
      <c r="I78" s="78">
        <f t="shared" ref="I78:M78" si="6">SUM(I65:I77)</f>
        <v>1315746.6341593151</v>
      </c>
      <c r="J78" s="78">
        <f t="shared" si="6"/>
        <v>1190801.938856696</v>
      </c>
      <c r="K78" s="78">
        <f t="shared" si="6"/>
        <v>0</v>
      </c>
      <c r="L78" s="78">
        <f t="shared" si="6"/>
        <v>0</v>
      </c>
      <c r="M78" s="78">
        <f t="shared" si="6"/>
        <v>0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0</v>
      </c>
      <c r="H79" s="123">
        <v>0</v>
      </c>
      <c r="I79" s="123">
        <v>0</v>
      </c>
      <c r="J79" s="123">
        <v>0</v>
      </c>
      <c r="K79" s="123"/>
      <c r="L79" s="123"/>
      <c r="M79" s="123"/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308825</v>
      </c>
      <c r="H80" s="123">
        <v>278979.23</v>
      </c>
      <c r="I80" s="123">
        <v>349097.50202479138</v>
      </c>
      <c r="J80" s="123">
        <v>360360.19871258223</v>
      </c>
      <c r="K80" s="123"/>
      <c r="L80" s="123"/>
      <c r="M80" s="123"/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1578718</v>
      </c>
      <c r="H81" s="123">
        <v>1554014.8799999997</v>
      </c>
      <c r="I81" s="123">
        <v>1658583.5862598668</v>
      </c>
      <c r="J81" s="123">
        <v>1692439.6439134448</v>
      </c>
      <c r="K81" s="123"/>
      <c r="L81" s="123"/>
      <c r="M81" s="123"/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272600</v>
      </c>
      <c r="H82" s="123">
        <v>276120.17</v>
      </c>
      <c r="I82" s="123">
        <v>380871.75580521574</v>
      </c>
      <c r="J82" s="123">
        <v>394418.98800680402</v>
      </c>
      <c r="K82" s="123"/>
      <c r="L82" s="123"/>
      <c r="M82" s="123"/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931</v>
      </c>
      <c r="H83" s="123">
        <v>1454.43</v>
      </c>
      <c r="I83" s="123">
        <v>0</v>
      </c>
      <c r="J83" s="123">
        <v>0</v>
      </c>
      <c r="K83" s="123"/>
      <c r="L83" s="123"/>
      <c r="M83" s="123"/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v>0</v>
      </c>
      <c r="I84" s="123">
        <v>0</v>
      </c>
      <c r="J84" s="123">
        <v>0</v>
      </c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>
        <v>0</v>
      </c>
      <c r="I85" s="123">
        <v>0</v>
      </c>
      <c r="J85" s="123">
        <v>0</v>
      </c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2161074</v>
      </c>
      <c r="H86" s="78">
        <f>SUM(H79:H85)</f>
        <v>2110568.71</v>
      </c>
      <c r="I86" s="78">
        <f t="shared" ref="I86:M86" si="7">SUM(I79:I85)</f>
        <v>2388552.8440898741</v>
      </c>
      <c r="J86" s="78">
        <f t="shared" si="7"/>
        <v>2447218.830632831</v>
      </c>
      <c r="K86" s="78">
        <f t="shared" si="7"/>
        <v>0</v>
      </c>
      <c r="L86" s="78">
        <f t="shared" si="7"/>
        <v>0</v>
      </c>
      <c r="M86" s="78">
        <f t="shared" si="7"/>
        <v>0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0</v>
      </c>
      <c r="J87" s="123">
        <v>0</v>
      </c>
      <c r="K87" s="123"/>
      <c r="L87" s="123"/>
      <c r="M87" s="123"/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17500</v>
      </c>
      <c r="H88" s="123">
        <v>8094</v>
      </c>
      <c r="I88" s="123">
        <v>79100</v>
      </c>
      <c r="J88" s="123">
        <v>40611.5</v>
      </c>
      <c r="K88" s="123"/>
      <c r="L88" s="123"/>
      <c r="M88" s="123"/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v>0</v>
      </c>
      <c r="I89" s="123">
        <v>15000</v>
      </c>
      <c r="J89" s="123">
        <v>15225</v>
      </c>
      <c r="K89" s="123"/>
      <c r="L89" s="123"/>
      <c r="M89" s="123"/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v>0</v>
      </c>
      <c r="I90" s="123">
        <v>0</v>
      </c>
      <c r="J90" s="123">
        <v>0</v>
      </c>
      <c r="K90" s="123"/>
      <c r="L90" s="123"/>
      <c r="M90" s="123"/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17500</v>
      </c>
      <c r="H91" s="78">
        <f>SUM(H87:H90)</f>
        <v>8094</v>
      </c>
      <c r="I91" s="78">
        <f t="shared" ref="I91:M91" si="8">SUM(I87:I90)</f>
        <v>94100</v>
      </c>
      <c r="J91" s="78">
        <f t="shared" si="8"/>
        <v>55836.5</v>
      </c>
      <c r="K91" s="78">
        <f t="shared" si="8"/>
        <v>0</v>
      </c>
      <c r="L91" s="78">
        <f t="shared" si="8"/>
        <v>0</v>
      </c>
      <c r="M91" s="78">
        <f t="shared" si="8"/>
        <v>0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96666</v>
      </c>
      <c r="H92" s="123">
        <v>101427.12</v>
      </c>
      <c r="I92" s="123">
        <v>108782</v>
      </c>
      <c r="J92" s="123">
        <v>110531.73000000001</v>
      </c>
      <c r="K92" s="123"/>
      <c r="L92" s="123"/>
      <c r="M92" s="123"/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1282096</v>
      </c>
      <c r="H93" s="123">
        <v>1095807.75</v>
      </c>
      <c r="I93" s="123">
        <v>1573345.9534230472</v>
      </c>
      <c r="J93" s="123">
        <v>1935470.1920545478</v>
      </c>
      <c r="K93" s="123"/>
      <c r="L93" s="123"/>
      <c r="M93" s="123"/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936690</v>
      </c>
      <c r="H94" s="123">
        <v>1185291.1100000001</v>
      </c>
      <c r="I94" s="123">
        <v>2032673.2910030771</v>
      </c>
      <c r="J94" s="123">
        <v>2319408.3079205062</v>
      </c>
      <c r="K94" s="123"/>
      <c r="L94" s="123"/>
      <c r="M94" s="123"/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300029</v>
      </c>
      <c r="H95" s="123">
        <v>326223.65999999992</v>
      </c>
      <c r="I95" s="123">
        <v>409765.84237472469</v>
      </c>
      <c r="J95" s="123">
        <v>393753.08141659555</v>
      </c>
      <c r="K95" s="123"/>
      <c r="L95" s="123"/>
      <c r="M95" s="123"/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-156931</v>
      </c>
      <c r="H96" s="123">
        <v>-133884.59</v>
      </c>
      <c r="I96" s="123">
        <v>-136260.24000000005</v>
      </c>
      <c r="J96" s="123">
        <v>-139370.8848</v>
      </c>
      <c r="K96" s="123"/>
      <c r="L96" s="123"/>
      <c r="M96" s="123"/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638303</v>
      </c>
      <c r="H97" s="123">
        <v>1078111.67</v>
      </c>
      <c r="I97" s="123">
        <v>671863.91575000004</v>
      </c>
      <c r="J97" s="123">
        <v>926557.54133749986</v>
      </c>
      <c r="K97" s="123"/>
      <c r="L97" s="123"/>
      <c r="M97" s="123"/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v>0</v>
      </c>
      <c r="I98" s="123">
        <v>0</v>
      </c>
      <c r="J98" s="123">
        <v>0</v>
      </c>
      <c r="K98" s="123"/>
      <c r="L98" s="123"/>
      <c r="M98" s="123"/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32010</v>
      </c>
      <c r="H99" s="123">
        <v>44457.710000000006</v>
      </c>
      <c r="I99" s="123">
        <v>20000</v>
      </c>
      <c r="J99" s="123">
        <v>20400</v>
      </c>
      <c r="K99" s="123"/>
      <c r="L99" s="123"/>
      <c r="M99" s="123"/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>
        <v>0</v>
      </c>
      <c r="K100" s="123"/>
      <c r="L100" s="123"/>
      <c r="M100" s="123"/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>
        <v>0</v>
      </c>
      <c r="K101" s="123"/>
      <c r="L101" s="123"/>
      <c r="M101" s="123"/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>
        <v>0</v>
      </c>
      <c r="K102" s="123"/>
      <c r="L102" s="123"/>
      <c r="M102" s="123"/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113393</v>
      </c>
      <c r="H103" s="123">
        <v>153211.03</v>
      </c>
      <c r="I103" s="123">
        <v>121427.37466445653</v>
      </c>
      <c r="J103" s="123">
        <v>359783</v>
      </c>
      <c r="K103" s="123"/>
      <c r="L103" s="123"/>
      <c r="M103" s="123"/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413660</v>
      </c>
      <c r="H104" s="123">
        <v>537372.07999999996</v>
      </c>
      <c r="I104" s="123">
        <v>151996.2383871557</v>
      </c>
      <c r="J104" s="123">
        <v>154337.52265173732</v>
      </c>
      <c r="K104" s="123"/>
      <c r="L104" s="123"/>
      <c r="M104" s="123"/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>
        <v>0</v>
      </c>
      <c r="I105" s="123">
        <v>0</v>
      </c>
      <c r="J105" s="123">
        <v>0</v>
      </c>
      <c r="K105" s="123"/>
      <c r="L105" s="123"/>
      <c r="M105" s="123"/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0</v>
      </c>
      <c r="J106" s="123">
        <v>0</v>
      </c>
      <c r="K106" s="123"/>
      <c r="L106" s="123"/>
      <c r="M106" s="123"/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625649</v>
      </c>
      <c r="H107" s="123">
        <v>611659.72</v>
      </c>
      <c r="I107" s="123">
        <v>853051.59470659471</v>
      </c>
      <c r="J107" s="123">
        <v>896422.06477941107</v>
      </c>
      <c r="K107" s="123"/>
      <c r="L107" s="123"/>
      <c r="M107" s="123"/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0</v>
      </c>
      <c r="H108" s="123">
        <v>0</v>
      </c>
      <c r="I108" s="123">
        <v>0</v>
      </c>
      <c r="J108" s="123">
        <v>0</v>
      </c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4281565</v>
      </c>
      <c r="H109" s="78">
        <f>SUM(H92:H108)</f>
        <v>4999677.26</v>
      </c>
      <c r="I109" s="78">
        <f t="shared" ref="I109:M109" si="9">SUM(I92:I108)</f>
        <v>5806645.9703090554</v>
      </c>
      <c r="J109" s="78">
        <f t="shared" si="9"/>
        <v>6977292.5553602977</v>
      </c>
      <c r="K109" s="78">
        <f t="shared" si="9"/>
        <v>0</v>
      </c>
      <c r="L109" s="78">
        <f t="shared" si="9"/>
        <v>0</v>
      </c>
      <c r="M109" s="78">
        <f t="shared" si="9"/>
        <v>0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144083</v>
      </c>
      <c r="H110" s="123">
        <v>136933.54999999999</v>
      </c>
      <c r="I110" s="123">
        <v>139500</v>
      </c>
      <c r="J110" s="123">
        <v>141592.5</v>
      </c>
      <c r="K110" s="123"/>
      <c r="L110" s="123"/>
      <c r="M110" s="123"/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v>0</v>
      </c>
      <c r="I111" s="123">
        <v>0</v>
      </c>
      <c r="J111" s="123">
        <v>0</v>
      </c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144083</v>
      </c>
      <c r="H112" s="78">
        <f>H110+H111</f>
        <v>136933.54999999999</v>
      </c>
      <c r="I112" s="78">
        <f t="shared" ref="I112:M112" si="10">I110+I111</f>
        <v>139500</v>
      </c>
      <c r="J112" s="78">
        <f t="shared" si="10"/>
        <v>141592.5</v>
      </c>
      <c r="K112" s="78">
        <f t="shared" si="10"/>
        <v>0</v>
      </c>
      <c r="L112" s="78">
        <f t="shared" si="10"/>
        <v>0</v>
      </c>
      <c r="M112" s="78">
        <f t="shared" si="10"/>
        <v>0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v>0</v>
      </c>
      <c r="I113" s="123">
        <v>0</v>
      </c>
      <c r="J113" s="123">
        <v>0</v>
      </c>
      <c r="K113" s="123"/>
      <c r="L113" s="123"/>
      <c r="M113" s="123"/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11">I113</f>
        <v>0</v>
      </c>
      <c r="J114" s="78">
        <f t="shared" si="11"/>
        <v>0</v>
      </c>
      <c r="K114" s="78">
        <f t="shared" si="11"/>
        <v>0</v>
      </c>
      <c r="L114" s="78">
        <f t="shared" si="11"/>
        <v>0</v>
      </c>
      <c r="M114" s="78">
        <f t="shared" si="11"/>
        <v>0</v>
      </c>
      <c r="N114" s="140" t="s">
        <v>29</v>
      </c>
    </row>
    <row r="115" spans="3:14" x14ac:dyDescent="0.2">
      <c r="C115" s="139"/>
      <c r="D115" s="74"/>
      <c r="E115" s="152" t="s">
        <v>197</v>
      </c>
      <c r="F115" s="77" t="s">
        <v>80</v>
      </c>
      <c r="G115" s="57">
        <f>'Benchmarking Calculations'!G81</f>
        <v>10485033</v>
      </c>
      <c r="H115" s="78">
        <f>H64+H78+H86+H91+H109+H112</f>
        <v>12003297.300000001</v>
      </c>
      <c r="I115" s="78">
        <f t="shared" ref="I115:M115" si="12">I64+I78+I86+I91+I109+I112</f>
        <v>12720684.290184658</v>
      </c>
      <c r="J115" s="78">
        <f t="shared" si="12"/>
        <v>14994654.144750472</v>
      </c>
      <c r="K115" s="78">
        <f t="shared" si="12"/>
        <v>0</v>
      </c>
      <c r="L115" s="78">
        <f t="shared" si="12"/>
        <v>0</v>
      </c>
      <c r="M115" s="78">
        <f t="shared" si="12"/>
        <v>0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13">H47</f>
        <v>0</v>
      </c>
      <c r="I118" s="57">
        <f t="shared" si="13"/>
        <v>0</v>
      </c>
      <c r="J118" s="57">
        <f t="shared" si="13"/>
        <v>0</v>
      </c>
      <c r="K118" s="57">
        <f t="shared" si="13"/>
        <v>0</v>
      </c>
      <c r="L118" s="57">
        <f t="shared" si="13"/>
        <v>0</v>
      </c>
      <c r="M118" s="57">
        <f t="shared" ref="M118" si="14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15">H48</f>
        <v>0</v>
      </c>
      <c r="I119" s="57">
        <f t="shared" si="15"/>
        <v>0</v>
      </c>
      <c r="J119" s="57">
        <f t="shared" si="15"/>
        <v>0</v>
      </c>
      <c r="K119" s="57">
        <f t="shared" si="15"/>
        <v>0</v>
      </c>
      <c r="L119" s="57">
        <f t="shared" si="15"/>
        <v>0</v>
      </c>
      <c r="M119" s="57">
        <f t="shared" ref="M119" si="16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17">H67</f>
        <v>0</v>
      </c>
      <c r="I120" s="57">
        <f t="shared" si="17"/>
        <v>0</v>
      </c>
      <c r="J120" s="57">
        <f t="shared" si="17"/>
        <v>0</v>
      </c>
      <c r="K120" s="57">
        <f t="shared" si="17"/>
        <v>0</v>
      </c>
      <c r="L120" s="57">
        <f t="shared" si="17"/>
        <v>0</v>
      </c>
      <c r="M120" s="57">
        <f t="shared" ref="M120" si="18">M67</f>
        <v>0</v>
      </c>
      <c r="N120" s="140" t="s">
        <v>29</v>
      </c>
    </row>
    <row r="121" spans="3:14" x14ac:dyDescent="0.2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19">I47+I48+I67</f>
        <v>0</v>
      </c>
      <c r="J121" s="105">
        <f t="shared" si="19"/>
        <v>0</v>
      </c>
      <c r="K121" s="105">
        <f t="shared" si="19"/>
        <v>0</v>
      </c>
      <c r="L121" s="105">
        <f t="shared" si="19"/>
        <v>0</v>
      </c>
      <c r="M121" s="105">
        <f t="shared" ref="M121" si="20">M47+M48+M67</f>
        <v>0</v>
      </c>
      <c r="N121" s="153" t="s">
        <v>29</v>
      </c>
    </row>
    <row r="122" spans="3:14" x14ac:dyDescent="0.2">
      <c r="C122" s="139"/>
      <c r="D122" s="74"/>
      <c r="E122" s="154" t="s">
        <v>199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21">H122</f>
        <v>0</v>
      </c>
      <c r="J122" s="155">
        <f t="shared" si="21"/>
        <v>0</v>
      </c>
      <c r="K122" s="155">
        <f t="shared" si="21"/>
        <v>0</v>
      </c>
      <c r="L122" s="155">
        <f t="shared" si="21"/>
        <v>0</v>
      </c>
      <c r="M122" s="155">
        <f t="shared" si="21"/>
        <v>0</v>
      </c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sheetProtection algorithmName="SHA-512" hashValue="2U2uhxyAbC9uOu2cW5azhIDGVBLt3OxpAKD09mq4t8ye1asr4ok5MQ6yplO5T4SGOxEoOa4weJjzoOnZ3tN3EQ==" saltValue="lM1H3W+gFFNd8DiM7y8SPg==" spinCount="100000" sheet="1" objects="1" scenarios="1"/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277"/>
  <sheetViews>
    <sheetView zoomScale="80" zoomScaleNormal="80" workbookViewId="0">
      <pane ySplit="5" topLeftCell="A66" activePane="bottomLeft" state="frozen"/>
      <selection activeCell="G33" sqref="G33"/>
      <selection pane="bottomLeft" activeCell="CH134" sqref="CH134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9" hidden="1" customWidth="1"/>
    <col min="16" max="16" width="16.140625" style="109" hidden="1" customWidth="1"/>
    <col min="17" max="17" width="15.85546875" style="8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customWidth="1"/>
    <col min="150" max="150" width="9.140625" style="67" customWidth="1"/>
  </cols>
  <sheetData>
    <row r="1" spans="1:150" ht="24" thickBot="1" x14ac:dyDescent="0.4">
      <c r="A1" s="297" t="s">
        <v>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R2" s="160"/>
    </row>
    <row r="3" spans="1:150" s="189" customFormat="1" ht="75.75" customHeight="1" thickBot="1" x14ac:dyDescent="0.3">
      <c r="B3" s="298" t="s">
        <v>1</v>
      </c>
      <c r="C3" s="298"/>
      <c r="D3" s="187"/>
      <c r="E3" s="98" t="str">
        <f>'Model Inputs'!F5</f>
        <v>Milton Hydro Distribution Inc.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25">
      <c r="E4" s="223"/>
      <c r="F4" s="299"/>
      <c r="G4" s="300"/>
      <c r="H4" s="301" t="s">
        <v>2</v>
      </c>
      <c r="I4" s="302"/>
      <c r="J4" s="302"/>
      <c r="K4" s="302"/>
      <c r="L4" s="302"/>
      <c r="M4" s="302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2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96" t="s">
        <v>6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0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184650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0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17011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76835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13000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0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0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40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338941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0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380499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340138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78821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1118797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0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2548732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0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144965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415073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0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473379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0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121306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0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161041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16315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1332079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0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308825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1578718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272600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931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0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2161074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17500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0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17500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96666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1282096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936690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300029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-156931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638303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0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32010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0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113393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413660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625649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4281565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144083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100">
        <f t="shared" si="3"/>
        <v>144083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10485033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0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10485033</v>
      </c>
      <c r="H89" s="164">
        <f>'Model Inputs'!H31</f>
        <v>12003297.300000001</v>
      </c>
      <c r="I89" s="165">
        <f>'Model Inputs'!I31</f>
        <v>12720684.290184658</v>
      </c>
      <c r="J89" s="165">
        <f>'Model Inputs'!J31</f>
        <v>14994654.144750472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9705878</v>
      </c>
      <c r="H92" s="164">
        <f>'Model Inputs'!H9</f>
        <v>10988000</v>
      </c>
      <c r="I92" s="165">
        <f>'Model Inputs'!I9</f>
        <v>14945824.437374998</v>
      </c>
      <c r="J92" s="165">
        <f>'Model Inputs'!J9</f>
        <v>12405568.280774999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41221</v>
      </c>
      <c r="H96" s="164">
        <f>'Model Inputs'!H13</f>
        <v>42148.916666666664</v>
      </c>
      <c r="I96" s="165">
        <f>'Model Inputs'!I13</f>
        <v>42939.720562770082</v>
      </c>
      <c r="J96" s="165">
        <f>'Model Inputs'!J13</f>
        <v>43856.349756070565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907146501</v>
      </c>
      <c r="H97" s="164">
        <f>'Model Inputs'!H14</f>
        <v>936433540.89398074</v>
      </c>
      <c r="I97" s="165">
        <f>'Model Inputs'!I14</f>
        <v>892702086.57759452</v>
      </c>
      <c r="J97" s="165">
        <f>'Model Inputs'!J14</f>
        <v>903810993.91211641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100">
        <f>HLOOKUP($E$3,$P$3:$CE$269,O98,FALSE)</f>
        <v>194762</v>
      </c>
      <c r="H98" s="164">
        <f>'Model Inputs'!H15</f>
        <v>190209.7</v>
      </c>
      <c r="I98" s="165">
        <f>'Model Inputs'!I15</f>
        <v>181326.90539383661</v>
      </c>
      <c r="J98" s="165">
        <f>'Model Inputs'!J15</f>
        <v>183583.36230097598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100">
        <f>HLOOKUP($E$3,$P$3:$CE$269,O99,FALSE)</f>
        <v>2767</v>
      </c>
      <c r="H99" s="164">
        <f>'Model Inputs'!H16</f>
        <v>2814</v>
      </c>
      <c r="I99" s="165">
        <f>'Model Inputs'!I16</f>
        <v>2863</v>
      </c>
      <c r="J99" s="165">
        <f>'Model Inputs'!J16</f>
        <v>2914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96" t="s">
        <v>93</v>
      </c>
      <c r="B102" s="296"/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10485033</v>
      </c>
      <c r="H107" s="28">
        <f t="shared" ref="H107:K107" si="5">H89</f>
        <v>12003297.300000001</v>
      </c>
      <c r="I107" s="28">
        <f t="shared" si="5"/>
        <v>12720684.290184658</v>
      </c>
      <c r="J107" s="28">
        <f t="shared" si="5"/>
        <v>14994654.144750472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5.3155999999999995E-2</v>
      </c>
      <c r="H110" s="167">
        <f>'Model Inputs'!H22</f>
        <v>0.05</v>
      </c>
      <c r="I110" s="168">
        <f>'Model Inputs'!I22</f>
        <v>5.4699999999999999E-2</v>
      </c>
      <c r="J110" s="168">
        <f>'Model Inputs'!J22</f>
        <v>5.4921999999999999E-2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176.39678584163704</v>
      </c>
      <c r="H112" s="170">
        <f>G112*EXP('Model Inputs'!H21)</f>
        <v>180.32051792717647</v>
      </c>
      <c r="I112" s="171">
        <f>H112*EXP('Model Inputs'!I21)</f>
        <v>183.41217132889224</v>
      </c>
      <c r="J112" s="171">
        <f>I112*EXP('Model Inputs'!J21)</f>
        <v>188.99790352811627</v>
      </c>
      <c r="K112" s="171">
        <f>J112*EXP('Model Inputs'!K21)</f>
        <v>188.99790352811627</v>
      </c>
      <c r="L112" s="171">
        <f>K112*EXP('Model Inputs'!L21)</f>
        <v>188.99790352811627</v>
      </c>
      <c r="M112" s="172">
        <f>L112*EXP('Model Inputs'!M21)</f>
        <v>188.99790352811627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17.314723731032458</v>
      </c>
      <c r="H113" s="28">
        <f t="shared" ref="H113:M113" si="8">G112*H110+H111*H112</f>
        <v>17.096551064939252</v>
      </c>
      <c r="I113" s="28">
        <f t="shared" si="8"/>
        <v>18.282150994612707</v>
      </c>
      <c r="J113" s="28">
        <f t="shared" si="8"/>
        <v>18.748367045665958</v>
      </c>
      <c r="K113" s="28">
        <f t="shared" si="8"/>
        <v>8.6750037719405366</v>
      </c>
      <c r="L113" s="28">
        <f t="shared" si="8"/>
        <v>8.6750037719405366</v>
      </c>
      <c r="M113" s="28">
        <f t="shared" si="8"/>
        <v>8.6750037719405366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9705878</v>
      </c>
      <c r="H114" s="173">
        <f>H92</f>
        <v>10988000</v>
      </c>
      <c r="I114" s="174">
        <f t="shared" ref="I114:L114" si="9">I92</f>
        <v>14945824.437374998</v>
      </c>
      <c r="J114" s="174">
        <f t="shared" si="9"/>
        <v>12405568.280774999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55022.98669270314</v>
      </c>
      <c r="H116" s="7">
        <f t="shared" ref="H116:K116" si="13">(H114-H115)/H112</f>
        <v>60935.938551582745</v>
      </c>
      <c r="I116" s="7">
        <f t="shared" si="13"/>
        <v>81487.636993154316</v>
      </c>
      <c r="J116" s="7">
        <f t="shared" si="13"/>
        <v>65638.655504607144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46307.093091339164</v>
      </c>
      <c r="H117" s="24">
        <f t="shared" ref="H117:M117" si="15">H111*G118</f>
        <v>46707.152607641772</v>
      </c>
      <c r="I117" s="24">
        <f t="shared" si="15"/>
        <v>47360.253882468656</v>
      </c>
      <c r="J117" s="24">
        <f t="shared" si="15"/>
        <v>48926.700767249124</v>
      </c>
      <c r="K117" s="24">
        <f t="shared" si="15"/>
        <v>49693.779489693858</v>
      </c>
      <c r="L117" s="24">
        <f t="shared" si="15"/>
        <v>47412.835011116913</v>
      </c>
      <c r="M117" s="24">
        <f t="shared" si="15"/>
        <v>45236.585884106644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1017585.0241316289</v>
      </c>
      <c r="H118" s="24">
        <f t="shared" ref="H118:M118" si="16">G118+H116-H117</f>
        <v>1031813.8100755698</v>
      </c>
      <c r="I118" s="24">
        <f t="shared" si="16"/>
        <v>1065941.1931862554</v>
      </c>
      <c r="J118" s="24">
        <f t="shared" si="16"/>
        <v>1082653.1479236134</v>
      </c>
      <c r="K118" s="24">
        <f t="shared" si="16"/>
        <v>1032959.3684339196</v>
      </c>
      <c r="L118" s="24">
        <f t="shared" si="16"/>
        <v>985546.53342280269</v>
      </c>
      <c r="M118" s="24">
        <f t="shared" si="16"/>
        <v>940309.947538696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17619203.565675151</v>
      </c>
      <c r="H119" s="24">
        <f t="shared" ref="H119:K119" si="17">H113*H118</f>
        <v>17640457.493466511</v>
      </c>
      <c r="I119" s="24">
        <f t="shared" si="17"/>
        <v>19487697.845208753</v>
      </c>
      <c r="J119" s="24">
        <f t="shared" si="17"/>
        <v>20297978.600417584</v>
      </c>
      <c r="K119" s="24">
        <f t="shared" si="17"/>
        <v>8960926.4174255673</v>
      </c>
      <c r="L119" s="24">
        <f t="shared" ref="L119:M119" si="18">L113*L118</f>
        <v>8549619.8948657326</v>
      </c>
      <c r="M119" s="24">
        <f t="shared" si="18"/>
        <v>8157192.3416913962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28104236.565675151</v>
      </c>
      <c r="H121" s="24">
        <f t="shared" ref="H121:K121" si="19">H107+H119</f>
        <v>29643754.793466512</v>
      </c>
      <c r="I121" s="24">
        <f t="shared" si="19"/>
        <v>32208382.135393411</v>
      </c>
      <c r="J121" s="24">
        <f t="shared" si="19"/>
        <v>35292632.74516806</v>
      </c>
      <c r="K121" s="24">
        <f t="shared" si="19"/>
        <v>8960926.4174255673</v>
      </c>
      <c r="L121" s="24">
        <f t="shared" ref="L121:M121" si="20">L107+L119</f>
        <v>8549619.8948657326</v>
      </c>
      <c r="M121" s="24">
        <f t="shared" si="20"/>
        <v>8157192.3416913962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96" t="s">
        <v>108</v>
      </c>
      <c r="B123" s="296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41221</v>
      </c>
      <c r="H128" s="7">
        <f t="shared" ref="H128:K130" si="21">H96</f>
        <v>42148.916666666664</v>
      </c>
      <c r="I128" s="7">
        <f t="shared" si="21"/>
        <v>42939.720562770082</v>
      </c>
      <c r="J128" s="7">
        <f t="shared" si="21"/>
        <v>43856.349756070565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907146501</v>
      </c>
      <c r="H129" s="38">
        <f t="shared" si="21"/>
        <v>936433540.89398074</v>
      </c>
      <c r="I129" s="38">
        <f t="shared" si="21"/>
        <v>892702086.57759452</v>
      </c>
      <c r="J129" s="38">
        <f t="shared" si="21"/>
        <v>903810993.91211641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194762</v>
      </c>
      <c r="H130" s="7">
        <f t="shared" si="21"/>
        <v>190209.7</v>
      </c>
      <c r="I130" s="7">
        <f t="shared" si="21"/>
        <v>181326.90539383661</v>
      </c>
      <c r="J130" s="7">
        <f t="shared" si="21"/>
        <v>183583.36230097598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194762</v>
      </c>
      <c r="H131" s="7">
        <f t="shared" ref="H131:M131" si="25">MAX(G131,H130)</f>
        <v>194762</v>
      </c>
      <c r="I131" s="7">
        <f t="shared" si="25"/>
        <v>194762</v>
      </c>
      <c r="J131" s="7">
        <f t="shared" si="25"/>
        <v>194762</v>
      </c>
      <c r="K131" s="7">
        <f t="shared" si="25"/>
        <v>194762</v>
      </c>
      <c r="L131" s="7">
        <f t="shared" si="25"/>
        <v>194762</v>
      </c>
      <c r="M131" s="7">
        <f t="shared" si="25"/>
        <v>194762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113.925</v>
      </c>
      <c r="H134" s="179">
        <f>G134*EXP('Model Inputs'!H21)</f>
        <v>116.45912314579466</v>
      </c>
      <c r="I134" s="180">
        <f>H134*EXP('Model Inputs'!I21)</f>
        <v>118.45585234984421</v>
      </c>
      <c r="J134" s="180">
        <f>I134*EXP('Model Inputs'!J21)</f>
        <v>122.06337012722533</v>
      </c>
      <c r="K134" s="180">
        <f>J134*EXP('Model Inputs'!K21)</f>
        <v>122.06337012722533</v>
      </c>
      <c r="L134" s="180">
        <f>K134*EXP('Model Inputs'!L21)</f>
        <v>122.06337012722533</v>
      </c>
      <c r="M134" s="181">
        <f>L134*EXP('Model Inputs'!M21)</f>
        <v>122.06337012722533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1126.3</v>
      </c>
      <c r="H135" s="182">
        <f>G135*EXP('Model Inputs'!H20)</f>
        <v>1157.1243562525181</v>
      </c>
      <c r="I135" s="183">
        <f>H135*EXP('Model Inputs'!I20)</f>
        <v>1241.0253388093442</v>
      </c>
      <c r="J135" s="183">
        <f>I135*EXP('Model Inputs'!J20)</f>
        <v>1278.8201871272884</v>
      </c>
      <c r="K135" s="183">
        <f>J135*EXP('Model Inputs'!K20)</f>
        <v>1278.8201871272884</v>
      </c>
      <c r="L135" s="183">
        <f>K135*EXP('Model Inputs'!L20)</f>
        <v>1278.8201871272884</v>
      </c>
      <c r="M135" s="184">
        <f>L135*EXP('Model Inputs'!M20)</f>
        <v>1278.8201871272884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2.5499999999999974E-2</v>
      </c>
      <c r="I136" s="39">
        <f t="shared" ref="I136:M136" si="27">LN(I134/H134)*0.3+LN(I135/H135)*0.7</f>
        <v>5.4100000000000023E-2</v>
      </c>
      <c r="J136" s="39">
        <f t="shared" si="27"/>
        <v>3.0000000000000075E-2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154.5107754563422</v>
      </c>
      <c r="H137" s="28">
        <f>G137*EXP(H136)</f>
        <v>158.50146528260231</v>
      </c>
      <c r="I137" s="28">
        <f t="shared" ref="I137:M137" si="28">H137*EXP(I136)</f>
        <v>167.31258644691437</v>
      </c>
      <c r="J137" s="28">
        <f t="shared" si="28"/>
        <v>172.40801329171265</v>
      </c>
      <c r="K137" s="28">
        <f t="shared" si="28"/>
        <v>172.40801329171265</v>
      </c>
      <c r="L137" s="28">
        <f t="shared" si="28"/>
        <v>172.40801329171265</v>
      </c>
      <c r="M137" s="28">
        <f t="shared" si="28"/>
        <v>172.40801329171265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17.096551064939252</v>
      </c>
      <c r="I139" s="28">
        <f t="shared" si="29"/>
        <v>18.282150994612707</v>
      </c>
      <c r="J139" s="28">
        <f t="shared" si="29"/>
        <v>18.748367045665958</v>
      </c>
      <c r="K139" s="28">
        <f t="shared" si="29"/>
        <v>8.6750037719405366</v>
      </c>
      <c r="L139" s="28">
        <f t="shared" ref="L139:M139" si="30">L113</f>
        <v>8.6750037719405366</v>
      </c>
      <c r="M139" s="28">
        <f t="shared" si="30"/>
        <v>8.6750037719405366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2767</v>
      </c>
      <c r="H142" s="41">
        <f>'Model Inputs'!H16</f>
        <v>2814</v>
      </c>
      <c r="I142" s="41">
        <f>'Model Inputs'!I16</f>
        <v>2863</v>
      </c>
      <c r="J142" s="41">
        <f>'Model Inputs'!J16</f>
        <v>2914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1417.3947368421052</v>
      </c>
      <c r="H143" s="40">
        <f>(G143*14+H142)/15</f>
        <v>1510.5017543859649</v>
      </c>
      <c r="I143" s="40">
        <f>(H143*15+I142)/16</f>
        <v>1595.0328947368421</v>
      </c>
      <c r="J143" s="40">
        <f>(I143*16+J142)/17</f>
        <v>1672.6191950464397</v>
      </c>
      <c r="K143" s="40">
        <f>(J143*17+K142)/18</f>
        <v>1579.6959064327484</v>
      </c>
      <c r="L143" s="40">
        <f>(K143*17+L142)/18</f>
        <v>1491.9350227420402</v>
      </c>
      <c r="M143" s="40">
        <f>(L143*17+M142)/18</f>
        <v>1409.0497437008157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29142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0.41448768101022582</v>
      </c>
      <c r="H145" s="29">
        <f>'Model Inputs'!H17</f>
        <v>0.39784652035607571</v>
      </c>
      <c r="I145" s="29">
        <f>'Model Inputs'!I17</f>
        <v>0.34411320419660796</v>
      </c>
      <c r="J145" s="29">
        <f>'Model Inputs'!J17</f>
        <v>0.29389888793705854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0.11206159363250896</v>
      </c>
      <c r="H152" s="43">
        <f t="shared" ref="H152:K152" si="33">H113/H137</f>
        <v>0.1078636783228264</v>
      </c>
      <c r="I152" s="43">
        <f t="shared" si="33"/>
        <v>0.10926943024942923</v>
      </c>
      <c r="J152" s="43">
        <f t="shared" si="33"/>
        <v>0.10874417428581992</v>
      </c>
      <c r="K152" s="43">
        <f t="shared" si="33"/>
        <v>5.0316708639653054E-2</v>
      </c>
      <c r="L152" s="43">
        <f t="shared" ref="L152:M152" si="34">L113/L137</f>
        <v>5.0316708639653054E-2</v>
      </c>
      <c r="M152" s="43">
        <f t="shared" si="34"/>
        <v>5.0316708639653054E-2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41221</v>
      </c>
      <c r="H153" s="24">
        <f t="shared" ref="H153:K153" si="35">H96</f>
        <v>42148.916666666664</v>
      </c>
      <c r="I153" s="24">
        <f t="shared" si="35"/>
        <v>42939.720562770082</v>
      </c>
      <c r="J153" s="24">
        <f t="shared" si="35"/>
        <v>43856.349756070565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194762</v>
      </c>
      <c r="H154" s="24">
        <f t="shared" ref="H154:K154" si="37">H131</f>
        <v>194762</v>
      </c>
      <c r="I154" s="24">
        <f t="shared" si="37"/>
        <v>194762</v>
      </c>
      <c r="J154" s="24">
        <f t="shared" si="37"/>
        <v>194762</v>
      </c>
      <c r="K154" s="24">
        <f t="shared" si="37"/>
        <v>194762</v>
      </c>
      <c r="L154" s="24">
        <f t="shared" ref="L154:M154" si="38">L131</f>
        <v>194762</v>
      </c>
      <c r="M154" s="24">
        <f t="shared" si="38"/>
        <v>194762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907146501</v>
      </c>
      <c r="H155" s="38">
        <f t="shared" ref="H155:K155" si="39">H97</f>
        <v>936433540.89398074</v>
      </c>
      <c r="I155" s="38">
        <f t="shared" si="39"/>
        <v>892702086.57759452</v>
      </c>
      <c r="J155" s="38">
        <f t="shared" si="39"/>
        <v>903810993.91211641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1417.3947368421052</v>
      </c>
      <c r="H156" s="44">
        <f t="shared" ref="H156:K156" si="41">H143</f>
        <v>1510.5017543859649</v>
      </c>
      <c r="I156" s="44">
        <f t="shared" si="41"/>
        <v>1595.0328947368421</v>
      </c>
      <c r="J156" s="44">
        <f t="shared" si="41"/>
        <v>1672.6191950464397</v>
      </c>
      <c r="K156" s="44">
        <f t="shared" si="41"/>
        <v>1579.6959064327484</v>
      </c>
      <c r="L156" s="44">
        <f t="shared" ref="L156:M156" si="42">L143</f>
        <v>1491.9350227420402</v>
      </c>
      <c r="M156" s="44">
        <f t="shared" si="42"/>
        <v>1409.0497437008157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0.41448768101022582</v>
      </c>
      <c r="H157" s="30">
        <f t="shared" ref="H157:L157" si="43">H145</f>
        <v>0.39784652035607571</v>
      </c>
      <c r="I157" s="30">
        <f t="shared" si="43"/>
        <v>0.34411320419660796</v>
      </c>
      <c r="J157" s="30">
        <f t="shared" si="43"/>
        <v>0.29389888793705854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12.819261214706257</v>
      </c>
      <c r="H162" s="48">
        <f t="shared" ref="H162:M179" si="47">G162</f>
        <v>12.819261214706257</v>
      </c>
      <c r="I162" s="48">
        <f t="shared" si="47"/>
        <v>12.819261214706257</v>
      </c>
      <c r="J162" s="48">
        <f t="shared" si="47"/>
        <v>12.819261214706257</v>
      </c>
      <c r="K162" s="48">
        <f t="shared" si="47"/>
        <v>12.819261214706257</v>
      </c>
      <c r="L162" s="48">
        <f t="shared" si="47"/>
        <v>12.819261214706257</v>
      </c>
      <c r="M162" s="48">
        <f t="shared" si="47"/>
        <v>12.819261214706257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0.62545240797989465</v>
      </c>
      <c r="H163" s="48">
        <f t="shared" si="47"/>
        <v>0.62545240797989465</v>
      </c>
      <c r="I163" s="48">
        <f t="shared" si="47"/>
        <v>0.62545240797989465</v>
      </c>
      <c r="J163" s="48">
        <f t="shared" si="47"/>
        <v>0.62545240797989465</v>
      </c>
      <c r="K163" s="48">
        <f t="shared" si="47"/>
        <v>0.62545240797989465</v>
      </c>
      <c r="L163" s="48">
        <f t="shared" si="47"/>
        <v>0.62545240797989465</v>
      </c>
      <c r="M163" s="48">
        <f t="shared" si="47"/>
        <v>0.62545240797989465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0.45820846274877775</v>
      </c>
      <c r="H164" s="48">
        <f t="shared" si="47"/>
        <v>0.45820846274877775</v>
      </c>
      <c r="I164" s="48">
        <f t="shared" si="47"/>
        <v>0.45820846274877775</v>
      </c>
      <c r="J164" s="48">
        <f t="shared" si="47"/>
        <v>0.45820846274877775</v>
      </c>
      <c r="K164" s="48">
        <f t="shared" si="47"/>
        <v>0.45820846274877775</v>
      </c>
      <c r="L164" s="48">
        <f t="shared" si="47"/>
        <v>0.45820846274877775</v>
      </c>
      <c r="M164" s="48">
        <f t="shared" si="47"/>
        <v>0.45820846274877775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0.16040733392949291</v>
      </c>
      <c r="H165" s="48">
        <f t="shared" si="47"/>
        <v>0.16040733392949291</v>
      </c>
      <c r="I165" s="48">
        <f t="shared" si="47"/>
        <v>0.16040733392949291</v>
      </c>
      <c r="J165" s="48">
        <f t="shared" si="47"/>
        <v>0.16040733392949291</v>
      </c>
      <c r="K165" s="48">
        <f t="shared" si="47"/>
        <v>0.16040733392949291</v>
      </c>
      <c r="L165" s="48">
        <f t="shared" si="47"/>
        <v>0.16040733392949291</v>
      </c>
      <c r="M165" s="48">
        <f t="shared" si="47"/>
        <v>0.16040733392949291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0.10062789653882867</v>
      </c>
      <c r="H166" s="48">
        <f t="shared" si="47"/>
        <v>0.10062789653882867</v>
      </c>
      <c r="I166" s="48">
        <f t="shared" si="47"/>
        <v>0.10062789653882867</v>
      </c>
      <c r="J166" s="48">
        <f t="shared" si="47"/>
        <v>0.10062789653882867</v>
      </c>
      <c r="K166" s="48">
        <f t="shared" si="47"/>
        <v>0.10062789653882867</v>
      </c>
      <c r="L166" s="48">
        <f t="shared" si="47"/>
        <v>0.10062789653882867</v>
      </c>
      <c r="M166" s="48">
        <f t="shared" si="47"/>
        <v>0.10062789653882867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0.1313154023425287</v>
      </c>
      <c r="H167" s="48">
        <f t="shared" si="47"/>
        <v>0.1313154023425287</v>
      </c>
      <c r="I167" s="48">
        <f t="shared" si="47"/>
        <v>0.1313154023425287</v>
      </c>
      <c r="J167" s="48">
        <f t="shared" si="47"/>
        <v>0.1313154023425287</v>
      </c>
      <c r="K167" s="48">
        <f t="shared" si="47"/>
        <v>0.1313154023425287</v>
      </c>
      <c r="L167" s="48">
        <f t="shared" si="47"/>
        <v>0.1313154023425287</v>
      </c>
      <c r="M167" s="48">
        <f t="shared" si="47"/>
        <v>0.1313154023425287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-0.46205209541916481</v>
      </c>
      <c r="H168" s="48">
        <f t="shared" si="47"/>
        <v>-0.46205209541916481</v>
      </c>
      <c r="I168" s="48">
        <f t="shared" si="47"/>
        <v>-0.46205209541916481</v>
      </c>
      <c r="J168" s="48">
        <f t="shared" si="47"/>
        <v>-0.46205209541916481</v>
      </c>
      <c r="K168" s="48">
        <f t="shared" si="47"/>
        <v>-0.46205209541916481</v>
      </c>
      <c r="L168" s="48">
        <f t="shared" si="47"/>
        <v>-0.46205209541916481</v>
      </c>
      <c r="M168" s="48">
        <f t="shared" si="47"/>
        <v>-0.46205209541916481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0.17121564819836485</v>
      </c>
      <c r="H169" s="48">
        <f t="shared" si="47"/>
        <v>0.17121564819836485</v>
      </c>
      <c r="I169" s="48">
        <f t="shared" si="47"/>
        <v>0.17121564819836485</v>
      </c>
      <c r="J169" s="48">
        <f t="shared" si="47"/>
        <v>0.17121564819836485</v>
      </c>
      <c r="K169" s="48">
        <f t="shared" si="47"/>
        <v>0.17121564819836485</v>
      </c>
      <c r="L169" s="48">
        <f t="shared" si="47"/>
        <v>0.17121564819836485</v>
      </c>
      <c r="M169" s="48">
        <f t="shared" si="47"/>
        <v>0.17121564819836485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0.14751708740856675</v>
      </c>
      <c r="H170" s="48">
        <f t="shared" si="47"/>
        <v>0.14751708740856675</v>
      </c>
      <c r="I170" s="48">
        <f t="shared" si="47"/>
        <v>0.14751708740856675</v>
      </c>
      <c r="J170" s="48">
        <f t="shared" si="47"/>
        <v>0.14751708740856675</v>
      </c>
      <c r="K170" s="48">
        <f t="shared" si="47"/>
        <v>0.14751708740856675</v>
      </c>
      <c r="L170" s="48">
        <f t="shared" si="47"/>
        <v>0.14751708740856675</v>
      </c>
      <c r="M170" s="48">
        <f t="shared" si="47"/>
        <v>0.14751708740856675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5.6033918204693167E-2</v>
      </c>
      <c r="H171" s="48">
        <f t="shared" si="47"/>
        <v>5.6033918204693167E-2</v>
      </c>
      <c r="I171" s="48">
        <f t="shared" si="47"/>
        <v>5.6033918204693167E-2</v>
      </c>
      <c r="J171" s="48">
        <f t="shared" si="47"/>
        <v>5.6033918204693167E-2</v>
      </c>
      <c r="K171" s="48">
        <f t="shared" si="47"/>
        <v>5.6033918204693167E-2</v>
      </c>
      <c r="L171" s="48">
        <f t="shared" si="47"/>
        <v>5.6033918204693167E-2</v>
      </c>
      <c r="M171" s="48">
        <f t="shared" si="47"/>
        <v>5.6033918204693167E-2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9.9902254520090605E-3</v>
      </c>
      <c r="H172" s="48">
        <f t="shared" si="47"/>
        <v>9.9902254520090605E-3</v>
      </c>
      <c r="I172" s="48">
        <f t="shared" si="47"/>
        <v>9.9902254520090605E-3</v>
      </c>
      <c r="J172" s="48">
        <f t="shared" si="47"/>
        <v>9.9902254520090605E-3</v>
      </c>
      <c r="K172" s="48">
        <f t="shared" si="47"/>
        <v>9.9902254520090605E-3</v>
      </c>
      <c r="L172" s="48">
        <f t="shared" si="47"/>
        <v>9.9902254520090605E-3</v>
      </c>
      <c r="M172" s="48">
        <f t="shared" si="47"/>
        <v>9.9902254520090605E-3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-2.2259690703941293E-3</v>
      </c>
      <c r="H173" s="48">
        <f t="shared" si="47"/>
        <v>-2.2259690703941293E-3</v>
      </c>
      <c r="I173" s="48">
        <f t="shared" si="47"/>
        <v>-2.2259690703941293E-3</v>
      </c>
      <c r="J173" s="48">
        <f t="shared" si="47"/>
        <v>-2.2259690703941293E-3</v>
      </c>
      <c r="K173" s="48">
        <f t="shared" si="47"/>
        <v>-2.2259690703941293E-3</v>
      </c>
      <c r="L173" s="48">
        <f t="shared" si="47"/>
        <v>-2.2259690703941293E-3</v>
      </c>
      <c r="M173" s="48">
        <f t="shared" si="47"/>
        <v>-2.2259690703941293E-3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0.18397040305579559</v>
      </c>
      <c r="H174" s="48">
        <f t="shared" si="47"/>
        <v>0.18397040305579559</v>
      </c>
      <c r="I174" s="48">
        <f t="shared" si="47"/>
        <v>0.18397040305579559</v>
      </c>
      <c r="J174" s="48">
        <f t="shared" si="47"/>
        <v>0.18397040305579559</v>
      </c>
      <c r="K174" s="48">
        <f t="shared" si="47"/>
        <v>0.18397040305579559</v>
      </c>
      <c r="L174" s="48">
        <f t="shared" si="47"/>
        <v>0.18397040305579559</v>
      </c>
      <c r="M174" s="48">
        <f t="shared" si="47"/>
        <v>0.18397040305579559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0.10485309734642859</v>
      </c>
      <c r="H175" s="48">
        <f t="shared" si="47"/>
        <v>0.10485309734642859</v>
      </c>
      <c r="I175" s="48">
        <f t="shared" si="47"/>
        <v>0.10485309734642859</v>
      </c>
      <c r="J175" s="48">
        <f t="shared" si="47"/>
        <v>0.10485309734642859</v>
      </c>
      <c r="K175" s="48">
        <f t="shared" si="47"/>
        <v>0.10485309734642859</v>
      </c>
      <c r="L175" s="48">
        <f t="shared" si="47"/>
        <v>0.10485309734642859</v>
      </c>
      <c r="M175" s="48">
        <f t="shared" si="47"/>
        <v>0.10485309734642859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-0.21813974871200364</v>
      </c>
      <c r="H176" s="48">
        <f t="shared" si="47"/>
        <v>-0.21813974871200364</v>
      </c>
      <c r="I176" s="48">
        <f t="shared" si="47"/>
        <v>-0.21813974871200364</v>
      </c>
      <c r="J176" s="48">
        <f t="shared" si="47"/>
        <v>-0.21813974871200364</v>
      </c>
      <c r="K176" s="48">
        <f t="shared" si="47"/>
        <v>-0.21813974871200364</v>
      </c>
      <c r="L176" s="48">
        <f t="shared" si="47"/>
        <v>-0.21813974871200364</v>
      </c>
      <c r="M176" s="48">
        <f t="shared" si="47"/>
        <v>-0.21813974871200364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0.27893679484614825</v>
      </c>
      <c r="H177" s="48">
        <f t="shared" si="47"/>
        <v>0.27893679484614825</v>
      </c>
      <c r="I177" s="48">
        <f t="shared" si="47"/>
        <v>0.27893679484614825</v>
      </c>
      <c r="J177" s="48">
        <f t="shared" si="47"/>
        <v>0.27893679484614825</v>
      </c>
      <c r="K177" s="48">
        <f t="shared" si="47"/>
        <v>0.27893679484614825</v>
      </c>
      <c r="L177" s="48">
        <f t="shared" si="47"/>
        <v>0.27893679484614825</v>
      </c>
      <c r="M177" s="48">
        <f t="shared" si="47"/>
        <v>0.27893679484614825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8.5354633160724946E-3</v>
      </c>
      <c r="H178" s="48">
        <f t="shared" si="47"/>
        <v>8.5354633160724946E-3</v>
      </c>
      <c r="I178" s="48">
        <f t="shared" si="47"/>
        <v>8.5354633160724946E-3</v>
      </c>
      <c r="J178" s="48">
        <f t="shared" si="47"/>
        <v>8.5354633160724946E-3</v>
      </c>
      <c r="K178" s="48">
        <f t="shared" si="47"/>
        <v>8.5354633160724946E-3</v>
      </c>
      <c r="L178" s="48">
        <f t="shared" si="47"/>
        <v>8.5354633160724946E-3</v>
      </c>
      <c r="M178" s="48">
        <f t="shared" si="47"/>
        <v>8.5354633160724946E-3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1.7250460353881336E-2</v>
      </c>
      <c r="H179" s="48">
        <f t="shared" si="47"/>
        <v>1.7250460353881336E-2</v>
      </c>
      <c r="I179" s="48">
        <f t="shared" si="47"/>
        <v>1.7250460353881336E-2</v>
      </c>
      <c r="J179" s="48">
        <f t="shared" si="47"/>
        <v>1.7250460353881336E-2</v>
      </c>
      <c r="K179" s="48">
        <f t="shared" si="47"/>
        <v>1.7250460353881336E-2</v>
      </c>
      <c r="L179" s="48">
        <f t="shared" si="47"/>
        <v>1.7250460353881336E-2</v>
      </c>
      <c r="M179" s="48">
        <f t="shared" si="47"/>
        <v>1.7250460353881336E-2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-0.38325381934289787</v>
      </c>
      <c r="H206" s="47">
        <f t="shared" ref="H206:K209" si="51">LN(H152/H184)</f>
        <v>-0.42143429054252424</v>
      </c>
      <c r="I206" s="47">
        <f t="shared" si="51"/>
        <v>-0.40848581320668237</v>
      </c>
      <c r="J206" s="47">
        <f t="shared" si="51"/>
        <v>-0.41330438387376206</v>
      </c>
      <c r="K206" s="47">
        <f t="shared" si="51"/>
        <v>-1.1839652809610801</v>
      </c>
      <c r="L206" s="47">
        <f t="shared" ref="L206:M206" si="52">LN(L152/L184)</f>
        <v>-1.1839652809610801</v>
      </c>
      <c r="M206" s="47">
        <f t="shared" si="52"/>
        <v>-1.1839652809610801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-0.43086788543313809</v>
      </c>
      <c r="H207" s="47">
        <f t="shared" si="51"/>
        <v>-0.40860673840998463</v>
      </c>
      <c r="I207" s="47">
        <f t="shared" si="51"/>
        <v>-0.39001843586027979</v>
      </c>
      <c r="J207" s="47">
        <f t="shared" si="51"/>
        <v>-0.36889620603854223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-0.57214000217893901</v>
      </c>
      <c r="H208" s="47">
        <f t="shared" si="51"/>
        <v>-0.57214000217893901</v>
      </c>
      <c r="I208" s="47">
        <f t="shared" si="51"/>
        <v>-0.57214000217893901</v>
      </c>
      <c r="J208" s="47">
        <f t="shared" si="51"/>
        <v>-0.57214000217893901</v>
      </c>
      <c r="K208" s="47">
        <f t="shared" si="51"/>
        <v>-0.57214000217893901</v>
      </c>
      <c r="L208" s="47">
        <f t="shared" ref="L208:M208" si="54">LN(L154/L186)</f>
        <v>-0.57214000217893901</v>
      </c>
      <c r="M208" s="47">
        <f t="shared" si="54"/>
        <v>-0.57214000217893901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-0.58623253723607238</v>
      </c>
      <c r="H209" s="47">
        <f t="shared" si="51"/>
        <v>-0.55445794295336737</v>
      </c>
      <c r="I209" s="47">
        <f t="shared" si="51"/>
        <v>-0.60228358134895355</v>
      </c>
      <c r="J209" s="47">
        <f t="shared" si="51"/>
        <v>-0.5899162359082446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7.3441745020459304E-2</v>
      </c>
      <c r="H210" s="47">
        <f t="shared" ref="H210:K213" si="56">H206*H206/2</f>
        <v>8.8803430622540369E-2</v>
      </c>
      <c r="I210" s="47">
        <f t="shared" si="56"/>
        <v>8.3430329795562294E-2</v>
      </c>
      <c r="J210" s="47">
        <f t="shared" si="56"/>
        <v>8.5410256864635034E-2</v>
      </c>
      <c r="K210" s="47">
        <f t="shared" si="56"/>
        <v>0.7008868932606247</v>
      </c>
      <c r="L210" s="47">
        <f t="shared" ref="L210:M210" si="57">L206*L206/2</f>
        <v>0.7008868932606247</v>
      </c>
      <c r="M210" s="47">
        <f t="shared" si="57"/>
        <v>0.7008868932606247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9.2823567348811906E-2</v>
      </c>
      <c r="H211" s="47">
        <f t="shared" si="56"/>
        <v>8.3479733337022799E-2</v>
      </c>
      <c r="I211" s="47">
        <f t="shared" si="56"/>
        <v>7.6057190155449594E-2</v>
      </c>
      <c r="J211" s="47">
        <f t="shared" si="56"/>
        <v>6.8042205414815302E-2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0.16367209104665817</v>
      </c>
      <c r="H212" s="47">
        <f t="shared" si="56"/>
        <v>0.16367209104665817</v>
      </c>
      <c r="I212" s="47">
        <f t="shared" si="56"/>
        <v>0.16367209104665817</v>
      </c>
      <c r="J212" s="47">
        <f t="shared" si="56"/>
        <v>0.16367209104665817</v>
      </c>
      <c r="K212" s="47">
        <f t="shared" si="56"/>
        <v>0.16367209104665817</v>
      </c>
      <c r="L212" s="47">
        <f t="shared" ref="L212:M212" si="59">L208*L208/2</f>
        <v>0.16367209104665817</v>
      </c>
      <c r="M212" s="47">
        <f t="shared" si="59"/>
        <v>0.16367209104665817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0.17183429385712148</v>
      </c>
      <c r="H213" s="47">
        <f t="shared" si="56"/>
        <v>0.15371180525203978</v>
      </c>
      <c r="I213" s="47">
        <f t="shared" si="56"/>
        <v>0.18137275618126078</v>
      </c>
      <c r="J213" s="47">
        <f t="shared" si="56"/>
        <v>0.17400058269407584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0.16513176272444832</v>
      </c>
      <c r="H214" s="47">
        <f t="shared" ref="H214:K214" si="61">H206*H207</f>
        <v>0.17220089091270666</v>
      </c>
      <c r="I214" s="47">
        <f t="shared" si="61"/>
        <v>0.15931699793798468</v>
      </c>
      <c r="J214" s="47">
        <f t="shared" si="61"/>
        <v>0.15246641915012807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0.2192748410339323</v>
      </c>
      <c r="H215" s="47">
        <f t="shared" ref="H215:K215" si="63">H206*H208</f>
        <v>0.24111941590927943</v>
      </c>
      <c r="I215" s="47">
        <f t="shared" si="63"/>
        <v>0.23371107405813693</v>
      </c>
      <c r="J215" s="47">
        <f t="shared" si="63"/>
        <v>0.23646797109009926</v>
      </c>
      <c r="K215" s="47">
        <f t="shared" si="63"/>
        <v>0.67739389842886055</v>
      </c>
      <c r="L215" s="47">
        <f t="shared" ref="L215:M215" si="64">L206*L208</f>
        <v>0.67739389842886055</v>
      </c>
      <c r="M215" s="47">
        <f t="shared" si="64"/>
        <v>0.67739389842886055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0.22467585891880235</v>
      </c>
      <c r="H216" s="47">
        <f t="shared" ref="H216:K216" si="65">H206*H209</f>
        <v>0.23366758982421976</v>
      </c>
      <c r="I216" s="47">
        <f t="shared" si="65"/>
        <v>0.24602429850836033</v>
      </c>
      <c r="J216" s="47">
        <f t="shared" si="65"/>
        <v>0.2438149664191859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0.24651675291055047</v>
      </c>
      <c r="H217" s="47">
        <f t="shared" ref="H217:K217" si="67">H207*H208</f>
        <v>0.23378026020421777</v>
      </c>
      <c r="I217" s="47">
        <f t="shared" si="67"/>
        <v>0.22314514874292687</v>
      </c>
      <c r="J217" s="47">
        <f t="shared" si="67"/>
        <v>0.2110602761266939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0.2525887736910099</v>
      </c>
      <c r="H218" s="47">
        <f t="shared" ref="H218:K218" si="69">H207*H209</f>
        <v>0.22655525165568477</v>
      </c>
      <c r="I218" s="47">
        <f t="shared" si="69"/>
        <v>0.23490170034204644</v>
      </c>
      <c r="J218" s="47">
        <f t="shared" si="69"/>
        <v>0.21761786130708907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0.33540708513161138</v>
      </c>
      <c r="H219" s="47">
        <f t="shared" ref="H219:K219" si="71">H208*H209</f>
        <v>0.31722756868946966</v>
      </c>
      <c r="I219" s="47">
        <f t="shared" si="71"/>
        <v>0.34459052954532948</v>
      </c>
      <c r="J219" s="47">
        <f t="shared" si="71"/>
        <v>0.33751467649793454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-0.65283953391441607</v>
      </c>
      <c r="H220" s="47">
        <f t="shared" ref="H220:K220" si="73">LN(H156/H198)</f>
        <v>-0.5892181447490783</v>
      </c>
      <c r="I220" s="47">
        <f t="shared" si="73"/>
        <v>-0.53476566836980854</v>
      </c>
      <c r="J220" s="47">
        <f t="shared" si="73"/>
        <v>-0.48726924998128729</v>
      </c>
      <c r="K220" s="47">
        <f t="shared" si="73"/>
        <v>-0.54442766382123597</v>
      </c>
      <c r="L220" s="47">
        <f t="shared" ref="L220:M220" si="74">LN(L156/L198)</f>
        <v>-0.60158607766118455</v>
      </c>
      <c r="M220" s="47">
        <f t="shared" si="74"/>
        <v>-0.65874449150113312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3.2230768352272614</v>
      </c>
      <c r="H221" s="30">
        <f t="shared" ref="H221:K221" si="75">H157/H199</f>
        <v>3.0936743418046326</v>
      </c>
      <c r="I221" s="30">
        <f t="shared" si="75"/>
        <v>2.6758414012177916</v>
      </c>
      <c r="J221" s="30">
        <f t="shared" si="75"/>
        <v>2.2853723789817928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12.819261214706257</v>
      </c>
      <c r="H226" s="49">
        <f t="shared" ref="H226:K241" si="80">H162*H205</f>
        <v>12.819261214706257</v>
      </c>
      <c r="I226" s="49">
        <f t="shared" si="80"/>
        <v>12.819261214706257</v>
      </c>
      <c r="J226" s="49">
        <f t="shared" si="80"/>
        <v>12.819261214706257</v>
      </c>
      <c r="K226" s="49">
        <f t="shared" si="80"/>
        <v>12.819261214706257</v>
      </c>
      <c r="L226" s="49">
        <f t="shared" ref="L226:M226" si="81">L162*L205</f>
        <v>12.819261214706257</v>
      </c>
      <c r="M226" s="49">
        <f t="shared" si="81"/>
        <v>12.819261214706257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-0.23970702417550699</v>
      </c>
      <c r="H227" s="49">
        <f t="shared" si="80"/>
        <v>-0.2635870918251203</v>
      </c>
      <c r="I227" s="49">
        <f t="shared" si="80"/>
        <v>-0.25548843549574496</v>
      </c>
      <c r="J227" s="49">
        <f t="shared" si="80"/>
        <v>-0.25850222212249124</v>
      </c>
      <c r="K227" s="49">
        <f t="shared" si="80"/>
        <v>-0.74051393594170012</v>
      </c>
      <c r="L227" s="49">
        <f t="shared" ref="L227:M227" si="82">L163*L206</f>
        <v>-0.74051393594170012</v>
      </c>
      <c r="M227" s="49">
        <f t="shared" si="82"/>
        <v>-0.74051393594170012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-0.19742731143213468</v>
      </c>
      <c r="H228" s="49">
        <f t="shared" si="80"/>
        <v>-0.187227065475631</v>
      </c>
      <c r="I228" s="49">
        <f t="shared" si="80"/>
        <v>-0.17870974793922156</v>
      </c>
      <c r="J228" s="49">
        <f t="shared" si="80"/>
        <v>-0.16903136348277681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-9.1775452383937875E-2</v>
      </c>
      <c r="H229" s="49">
        <f t="shared" si="80"/>
        <v>-9.1775452383937875E-2</v>
      </c>
      <c r="I229" s="49">
        <f t="shared" si="80"/>
        <v>-9.1775452383937875E-2</v>
      </c>
      <c r="J229" s="49">
        <f t="shared" si="80"/>
        <v>-9.1775452383937875E-2</v>
      </c>
      <c r="K229" s="49">
        <f t="shared" si="80"/>
        <v>-9.1775452383937875E-2</v>
      </c>
      <c r="L229" s="49">
        <f t="shared" ref="L229:M229" si="84">L165*L208</f>
        <v>-9.1775452383937875E-2</v>
      </c>
      <c r="M229" s="49">
        <f t="shared" si="84"/>
        <v>-9.1775452383937875E-2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-5.8991347104686516E-2</v>
      </c>
      <c r="H230" s="49">
        <f t="shared" si="80"/>
        <v>-5.5793936518643221E-2</v>
      </c>
      <c r="I230" s="49">
        <f t="shared" si="80"/>
        <v>-6.0606529911017698E-2</v>
      </c>
      <c r="J230" s="49">
        <f t="shared" si="80"/>
        <v>-5.9362029953550083E-2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9.6440322960990171E-3</v>
      </c>
      <c r="H231" s="49">
        <f t="shared" si="80"/>
        <v>1.1661258221595722E-2</v>
      </c>
      <c r="I231" s="49">
        <f t="shared" si="80"/>
        <v>1.0955687324674123E-2</v>
      </c>
      <c r="J231" s="49">
        <f t="shared" si="80"/>
        <v>1.1215682244358273E-2</v>
      </c>
      <c r="K231" s="49">
        <f t="shared" si="80"/>
        <v>9.2037244385123895E-2</v>
      </c>
      <c r="L231" s="49">
        <f t="shared" ref="L231:M231" si="86">L167*L210</f>
        <v>9.2037244385123895E-2</v>
      </c>
      <c r="M231" s="49">
        <f t="shared" si="86"/>
        <v>9.2037244385123895E-2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-4.2889323797800513E-2</v>
      </c>
      <c r="H232" s="49">
        <f t="shared" si="80"/>
        <v>-3.8571985713404491E-2</v>
      </c>
      <c r="I232" s="49">
        <f t="shared" si="80"/>
        <v>-3.5142384083019361E-2</v>
      </c>
      <c r="J232" s="49">
        <f t="shared" si="80"/>
        <v>-3.1439043588856651E-2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2.8023223160535366E-2</v>
      </c>
      <c r="H233" s="49">
        <f t="shared" si="80"/>
        <v>2.8023223160535366E-2</v>
      </c>
      <c r="I233" s="49">
        <f t="shared" si="80"/>
        <v>2.8023223160535366E-2</v>
      </c>
      <c r="J233" s="49">
        <f t="shared" si="80"/>
        <v>2.8023223160535366E-2</v>
      </c>
      <c r="K233" s="49">
        <f t="shared" si="80"/>
        <v>2.8023223160535366E-2</v>
      </c>
      <c r="L233" s="49">
        <f t="shared" ref="L233:M233" si="88">L169*L212</f>
        <v>2.8023223160535366E-2</v>
      </c>
      <c r="M233" s="49">
        <f t="shared" si="88"/>
        <v>2.8023223160535366E-2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2.5348494546710336E-2</v>
      </c>
      <c r="H234" s="49">
        <f t="shared" si="80"/>
        <v>2.2675117811093742E-2</v>
      </c>
      <c r="I234" s="49">
        <f t="shared" si="80"/>
        <v>2.6755580727123713E-2</v>
      </c>
      <c r="J234" s="49">
        <f t="shared" si="80"/>
        <v>2.5668059166423535E-2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9.2529796854985379E-3</v>
      </c>
      <c r="H235" s="49">
        <f t="shared" si="80"/>
        <v>9.6490906361778959E-3</v>
      </c>
      <c r="I235" s="49">
        <f t="shared" si="80"/>
        <v>8.927155631074303E-3</v>
      </c>
      <c r="J235" s="49">
        <f t="shared" si="80"/>
        <v>8.5432908596207394E-3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2.1906050978824313E-3</v>
      </c>
      <c r="H236" s="49">
        <f t="shared" si="80"/>
        <v>2.408837325790442E-3</v>
      </c>
      <c r="I236" s="49">
        <f t="shared" si="80"/>
        <v>2.334826320471974E-3</v>
      </c>
      <c r="J236" s="49">
        <f t="shared" si="80"/>
        <v>2.3623683433692524E-3</v>
      </c>
      <c r="K236" s="49">
        <f t="shared" si="80"/>
        <v>6.7673177651196431E-3</v>
      </c>
      <c r="L236" s="49">
        <f t="shared" ref="L236:M236" si="91">L172*L215</f>
        <v>6.7673177651196431E-3</v>
      </c>
      <c r="M236" s="49">
        <f t="shared" si="91"/>
        <v>6.7673177651196431E-3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-5.0012151281748896E-4</v>
      </c>
      <c r="H237" s="49">
        <f t="shared" si="80"/>
        <v>-5.2013682770225519E-4</v>
      </c>
      <c r="I237" s="49">
        <f t="shared" si="80"/>
        <v>-5.476424790450226E-4</v>
      </c>
      <c r="J237" s="49">
        <f t="shared" si="80"/>
        <v>-5.4272457414829105E-4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4.535178639295994E-2</v>
      </c>
      <c r="H238" s="49">
        <f t="shared" si="80"/>
        <v>4.3008648696258714E-2</v>
      </c>
      <c r="I238" s="49">
        <f t="shared" si="80"/>
        <v>4.105210295418172E-2</v>
      </c>
      <c r="J238" s="49">
        <f t="shared" si="80"/>
        <v>3.8828844068095392E-2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2.6484715276438482E-2</v>
      </c>
      <c r="H239" s="49">
        <f t="shared" si="80"/>
        <v>2.3755019856198142E-2</v>
      </c>
      <c r="I239" s="49">
        <f t="shared" si="80"/>
        <v>2.4630170852806194E-2</v>
      </c>
      <c r="J239" s="49">
        <f t="shared" si="80"/>
        <v>2.2817906795953805E-2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-7.316561726683532E-2</v>
      </c>
      <c r="H240" s="49">
        <f t="shared" si="80"/>
        <v>-6.9199942118440785E-2</v>
      </c>
      <c r="I240" s="49">
        <f t="shared" si="80"/>
        <v>-7.5168891523554437E-2</v>
      </c>
      <c r="J240" s="49">
        <f t="shared" si="80"/>
        <v>-7.3625366717872648E-2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-0.18210096713894053</v>
      </c>
      <c r="H241" s="49">
        <f t="shared" si="80"/>
        <v>-0.16435462076150173</v>
      </c>
      <c r="I241" s="49">
        <f t="shared" si="80"/>
        <v>-0.14916582152883265</v>
      </c>
      <c r="J241" s="49">
        <f t="shared" si="80"/>
        <v>-0.13591732281686686</v>
      </c>
      <c r="K241" s="49">
        <f t="shared" si="80"/>
        <v>-0.15186090757187187</v>
      </c>
      <c r="L241" s="49">
        <f t="shared" ref="L241:M241" si="96">L177*L220</f>
        <v>-0.16780449232687683</v>
      </c>
      <c r="M241" s="49">
        <f t="shared" si="96"/>
        <v>-0.18374807708188182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2.7510454091965321E-2</v>
      </c>
      <c r="H242" s="49">
        <f t="shared" ref="H242:K243" si="97">H178*H221</f>
        <v>2.640594385634816E-2</v>
      </c>
      <c r="I242" s="49">
        <f t="shared" si="97"/>
        <v>2.2839546119722481E-2</v>
      </c>
      <c r="J242" s="49">
        <f t="shared" si="97"/>
        <v>1.9506712104364419E-2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0.24150644495433871</v>
      </c>
      <c r="H243" s="49">
        <f t="shared" si="97"/>
        <v>0.25875690530822004</v>
      </c>
      <c r="I243" s="49">
        <f t="shared" si="97"/>
        <v>0.27600736566210138</v>
      </c>
      <c r="J243" s="49">
        <f t="shared" si="97"/>
        <v>0.29325782601598271</v>
      </c>
      <c r="K243" s="49">
        <f t="shared" si="97"/>
        <v>0.31050828636986405</v>
      </c>
      <c r="L243" s="49">
        <f t="shared" ref="L243:M243" si="99">L179*L222</f>
        <v>0.32775874672374539</v>
      </c>
      <c r="M243" s="49">
        <f t="shared" si="99"/>
        <v>0.34500920707762672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12.348016785396027</v>
      </c>
      <c r="H245" s="43">
        <f t="shared" ref="H245:K245" si="100">SUM(H226:H243)</f>
        <v>12.374575027954087</v>
      </c>
      <c r="I245" s="43">
        <f t="shared" si="100"/>
        <v>12.414181968114574</v>
      </c>
      <c r="J245" s="43">
        <f t="shared" si="100"/>
        <v>12.449289601824463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230502.45344979869</v>
      </c>
      <c r="H246" s="7">
        <f t="shared" ref="H246:K246" si="102">EXP(H245)</f>
        <v>236706.20930283348</v>
      </c>
      <c r="I246" s="7">
        <f t="shared" si="102"/>
        <v>246269.5552624313</v>
      </c>
      <c r="J246" s="7">
        <f t="shared" si="102"/>
        <v>255069.0576586088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154.5107754563422</v>
      </c>
      <c r="H247" s="20">
        <f>H137</f>
        <v>158.50146528260231</v>
      </c>
      <c r="I247" s="20">
        <f t="shared" ref="I247:K247" si="104">I137</f>
        <v>167.31258644691437</v>
      </c>
      <c r="J247" s="20">
        <f t="shared" si="104"/>
        <v>172.40801329171265</v>
      </c>
      <c r="K247" s="20">
        <f t="shared" si="104"/>
        <v>172.40801329171265</v>
      </c>
      <c r="L247" s="20">
        <f t="shared" ref="L247:M247" si="105">L137</f>
        <v>172.40801329171265</v>
      </c>
      <c r="M247" s="20">
        <f t="shared" si="105"/>
        <v>172.40801329171265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35615112.827117816</v>
      </c>
      <c r="H248" s="7">
        <f t="shared" ref="H248:K248" si="106">H246*H247</f>
        <v>37518281.01598946</v>
      </c>
      <c r="I248" s="7">
        <f t="shared" si="106"/>
        <v>41203996.254088692</v>
      </c>
      <c r="J248" s="7">
        <f t="shared" si="106"/>
        <v>43975949.483110048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96" t="s">
        <v>151</v>
      </c>
      <c r="B253" s="296"/>
      <c r="C253" s="296"/>
      <c r="D253" s="296"/>
      <c r="E253" s="296"/>
      <c r="F253" s="296"/>
      <c r="G253" s="296"/>
      <c r="H253" s="296"/>
      <c r="I253" s="296"/>
      <c r="J253" s="296"/>
      <c r="K253" s="296"/>
      <c r="L253" s="296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28104236.565675151</v>
      </c>
      <c r="H256" s="59">
        <f t="shared" ref="H256:K256" si="109">H121</f>
        <v>29643754.793466512</v>
      </c>
      <c r="I256" s="59">
        <f t="shared" si="109"/>
        <v>32208382.135393411</v>
      </c>
      <c r="J256" s="59">
        <f t="shared" si="109"/>
        <v>35292632.74516806</v>
      </c>
      <c r="K256" s="59">
        <f t="shared" si="109"/>
        <v>8960926.4174255673</v>
      </c>
      <c r="L256" s="59">
        <f t="shared" ref="L256:M256" si="110">L121</f>
        <v>8549619.8948657326</v>
      </c>
      <c r="M256" s="59">
        <f t="shared" si="110"/>
        <v>8157192.3416913962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35615112.827117816</v>
      </c>
      <c r="H257" s="59">
        <f t="shared" ref="H257:K257" si="112">H248</f>
        <v>37518281.01598946</v>
      </c>
      <c r="I257" s="59">
        <f t="shared" si="112"/>
        <v>41203996.254088692</v>
      </c>
      <c r="J257" s="59">
        <f t="shared" si="112"/>
        <v>43975949.483110048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-7510876.261442665</v>
      </c>
      <c r="H258" s="24">
        <f t="shared" ref="H258:K258" si="115">H256-H257</f>
        <v>-7874526.2225229479</v>
      </c>
      <c r="I258" s="24">
        <f t="shared" si="115"/>
        <v>-8995614.1186952814</v>
      </c>
      <c r="J258" s="24">
        <f t="shared" si="115"/>
        <v>-8683316.7379419878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-0.21089014368427847</v>
      </c>
      <c r="H259" s="60">
        <f t="shared" ref="H259:K259" si="117">H258/H257</f>
        <v>-0.20988504828264917</v>
      </c>
      <c r="I259" s="60">
        <f t="shared" si="117"/>
        <v>-0.21831897234488856</v>
      </c>
      <c r="J259" s="60">
        <f t="shared" si="117"/>
        <v>-0.19745603767525272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-0.23684973295436651</v>
      </c>
      <c r="H261" s="61">
        <f t="shared" si="119"/>
        <v>-0.23557683560342957</v>
      </c>
      <c r="I261" s="61">
        <f t="shared" si="119"/>
        <v>-0.24630851467196802</v>
      </c>
      <c r="J261" s="61">
        <f t="shared" si="119"/>
        <v>-0.21996864376534872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3.5" hidden="1" thickBot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2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2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2">
      <c r="E275" s="9"/>
      <c r="N275" s="9"/>
      <c r="Q275" s="287">
        <f>Q261-$G$261</f>
        <v>0.19274765487776396</v>
      </c>
      <c r="R275" s="287">
        <f t="shared" ref="R275:BW275" si="121">R261-$G$261</f>
        <v>0.85602173037457807</v>
      </c>
      <c r="S275" s="287">
        <f t="shared" si="121"/>
        <v>0.26489741800457445</v>
      </c>
      <c r="T275" s="287">
        <f t="shared" si="121"/>
        <v>0.19140809109974388</v>
      </c>
      <c r="U275" s="287">
        <f t="shared" si="121"/>
        <v>0.18886982873414207</v>
      </c>
      <c r="V275" s="287">
        <f t="shared" si="121"/>
        <v>0.10672828213089788</v>
      </c>
      <c r="W275" s="287">
        <f t="shared" si="121"/>
        <v>0.34673168148162786</v>
      </c>
      <c r="X275" s="287">
        <f t="shared" si="121"/>
        <v>0.12499813415656232</v>
      </c>
      <c r="Y275" s="287">
        <f t="shared" si="121"/>
        <v>0.42538192557000631</v>
      </c>
      <c r="Z275" s="287">
        <f t="shared" si="121"/>
        <v>-0.3106375717271993</v>
      </c>
      <c r="AA275" s="287">
        <f t="shared" si="121"/>
        <v>-0.35327135534533938</v>
      </c>
      <c r="AB275" s="287">
        <f t="shared" si="121"/>
        <v>0.19432859664596444</v>
      </c>
      <c r="AC275" s="287">
        <f t="shared" si="121"/>
        <v>9.3219573151405721E-2</v>
      </c>
      <c r="AD275" s="287">
        <f t="shared" si="121"/>
        <v>-1.7133287117101881E-2</v>
      </c>
      <c r="AE275" s="287">
        <f t="shared" si="121"/>
        <v>8.3681511656855057E-2</v>
      </c>
      <c r="AF275" s="287">
        <f t="shared" si="121"/>
        <v>0.13904150082917999</v>
      </c>
      <c r="AG275" s="287">
        <f t="shared" si="121"/>
        <v>0.22166201887662035</v>
      </c>
      <c r="AH275" s="287">
        <f t="shared" si="121"/>
        <v>-1.86476318932699E-2</v>
      </c>
      <c r="AI275" s="287">
        <f t="shared" si="121"/>
        <v>-8.1075096016386405E-4</v>
      </c>
      <c r="AJ275" s="287">
        <f t="shared" si="121"/>
        <v>0.25323995096607094</v>
      </c>
      <c r="AK275" s="287">
        <f t="shared" si="121"/>
        <v>0.12330460093467648</v>
      </c>
      <c r="AL275" s="287">
        <f t="shared" si="121"/>
        <v>0.2670918727280851</v>
      </c>
      <c r="AM275" s="287">
        <f t="shared" si="121"/>
        <v>-0.10854250733624521</v>
      </c>
      <c r="AN275" s="287">
        <f t="shared" si="121"/>
        <v>-0.10116753374469184</v>
      </c>
      <c r="AO275" s="287">
        <f t="shared" si="121"/>
        <v>-7.9533310212295927E-2</v>
      </c>
      <c r="AP275" s="287">
        <f t="shared" si="121"/>
        <v>5.7311146891542791E-2</v>
      </c>
      <c r="AQ275" s="287">
        <f t="shared" si="121"/>
        <v>-0.42679661678766911</v>
      </c>
      <c r="AR275" s="287">
        <f t="shared" si="121"/>
        <v>0.3980660637471527</v>
      </c>
      <c r="AS275" s="287">
        <f t="shared" si="121"/>
        <v>0.43503035741308832</v>
      </c>
      <c r="AT275" s="287">
        <f t="shared" si="121"/>
        <v>0.16864825200807343</v>
      </c>
      <c r="AU275" s="287">
        <f t="shared" si="121"/>
        <v>0.16874580080334997</v>
      </c>
      <c r="AV275" s="287">
        <f t="shared" si="121"/>
        <v>1.61650311610472E-2</v>
      </c>
      <c r="AW275" s="287">
        <f t="shared" si="121"/>
        <v>-3.494844888391313E-2</v>
      </c>
      <c r="AX275" s="287">
        <f t="shared" si="121"/>
        <v>6.8272690542793668E-2</v>
      </c>
      <c r="AY275" s="287">
        <f t="shared" si="121"/>
        <v>0.17377741976910105</v>
      </c>
      <c r="AZ275" s="287">
        <f t="shared" si="121"/>
        <v>0</v>
      </c>
      <c r="BA275" s="287">
        <f t="shared" si="121"/>
        <v>7.814341703959457E-2</v>
      </c>
      <c r="BB275" s="287">
        <f t="shared" si="121"/>
        <v>0.20843793087007015</v>
      </c>
      <c r="BC275" s="287">
        <f t="shared" si="121"/>
        <v>0.10999293854054021</v>
      </c>
      <c r="BD275" s="287">
        <f t="shared" si="121"/>
        <v>0.25109187780795444</v>
      </c>
      <c r="BE275" s="287">
        <f t="shared" si="121"/>
        <v>-0.18398448323759542</v>
      </c>
      <c r="BF275" s="287">
        <f t="shared" si="121"/>
        <v>0.19859387419563593</v>
      </c>
      <c r="BG275" s="287">
        <f t="shared" si="121"/>
        <v>-5.0772981797621908E-2</v>
      </c>
      <c r="BH275" s="287">
        <f t="shared" si="121"/>
        <v>0.2182977123060672</v>
      </c>
      <c r="BI275" s="287">
        <f t="shared" si="121"/>
        <v>7.0678800546467108E-2</v>
      </c>
      <c r="BJ275" s="287">
        <f t="shared" si="121"/>
        <v>-5.9526628713075791E-3</v>
      </c>
      <c r="BK275" s="287">
        <f t="shared" si="121"/>
        <v>0.23086551511122008</v>
      </c>
      <c r="BL275" s="287">
        <f t="shared" si="121"/>
        <v>0.24785383258999982</v>
      </c>
      <c r="BM275" s="287">
        <f t="shared" si="121"/>
        <v>0.21202528784051627</v>
      </c>
      <c r="BN275" s="287">
        <f t="shared" si="121"/>
        <v>8.2938609347791514E-2</v>
      </c>
      <c r="BO275" s="287">
        <f t="shared" si="121"/>
        <v>-2.1649172080794421E-2</v>
      </c>
      <c r="BP275" s="287">
        <f t="shared" si="121"/>
        <v>0.24165154335342567</v>
      </c>
      <c r="BQ275" s="287">
        <f t="shared" si="121"/>
        <v>0.18168179667217899</v>
      </c>
      <c r="BR275" s="287">
        <f t="shared" si="121"/>
        <v>0.76548241451070276</v>
      </c>
      <c r="BS275" s="287">
        <f t="shared" si="121"/>
        <v>-0.2295037437552826</v>
      </c>
      <c r="BT275" s="287">
        <f t="shared" si="121"/>
        <v>0.27154061010305858</v>
      </c>
      <c r="BU275" s="287">
        <f t="shared" si="121"/>
        <v>-6.6463958845082327E-2</v>
      </c>
      <c r="BV275" s="287">
        <f t="shared" si="121"/>
        <v>0.26571545876293595</v>
      </c>
      <c r="BW275" s="287">
        <f t="shared" si="121"/>
        <v>0.12624657725132293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">
      <c r="G276" s="39"/>
    </row>
    <row r="277" spans="5:150" x14ac:dyDescent="0.2">
      <c r="G277" s="286"/>
    </row>
  </sheetData>
  <sheetProtection algorithmName="SHA-512" hashValue="tsgmPaWZCxCh/pbAh+gbsDBk+UEdXq0qPFY+YcP8hvTq6Zs+JD8oveff0GbIo/ExDoFEC/r//LDSHQCjNsSRhQ==" saltValue="Nw5s+vfI7cTfWY8757lrkg==" spinCount="100000" sheet="1" objects="1" scenarios="1"/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2:Q29"/>
  <sheetViews>
    <sheetView tabSelected="1" workbookViewId="0">
      <selection activeCell="F30" sqref="F3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97" t="s">
        <v>168</v>
      </c>
      <c r="D2" s="297"/>
      <c r="E2" s="297"/>
      <c r="F2" s="297"/>
      <c r="G2" s="297"/>
      <c r="H2" s="297"/>
      <c r="I2" s="297"/>
      <c r="J2" s="297"/>
      <c r="K2" s="297"/>
    </row>
    <row r="3" spans="3:17" s="89" customFormat="1" ht="23.25" customHeight="1" x14ac:dyDescent="0.25">
      <c r="C3" s="303" t="str">
        <f>'Model Inputs'!F5</f>
        <v>Milton Hydro Distribution Inc.</v>
      </c>
      <c r="D3" s="303"/>
      <c r="E3" s="303"/>
      <c r="F3" s="303"/>
      <c r="G3" s="303"/>
      <c r="H3" s="303"/>
      <c r="I3" s="303"/>
      <c r="J3" s="303"/>
      <c r="K3" s="303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28104236.565675151</v>
      </c>
      <c r="G10" s="83">
        <f>'Benchmarking Calculations'!H121</f>
        <v>29643754.793466512</v>
      </c>
      <c r="H10" s="83">
        <f>'Benchmarking Calculations'!I121</f>
        <v>32208382.135393411</v>
      </c>
      <c r="I10" s="88">
        <f>IF(ISNUMBER(I12),'Benchmarking Calculations'!J121,"na")</f>
        <v>35292632.74516806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35615112.827117816</v>
      </c>
      <c r="G12" s="83">
        <f>'Benchmarking Calculations'!H257</f>
        <v>37518281.01598946</v>
      </c>
      <c r="H12" s="83">
        <f>'Benchmarking Calculations'!I257</f>
        <v>41203996.254088692</v>
      </c>
      <c r="I12" s="88">
        <f>IF(ISNUMBER('Benchmarking Calculations'!J257),'Benchmarking Calculations'!J257,"na")</f>
        <v>43975949.483110048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288"/>
      <c r="I13" s="288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-7510876.261442665</v>
      </c>
      <c r="G14" s="83">
        <f t="shared" si="1"/>
        <v>-7874526.2225229479</v>
      </c>
      <c r="H14" s="83">
        <f t="shared" si="1"/>
        <v>-8995614.1186952814</v>
      </c>
      <c r="I14" s="88">
        <f>IF(ISNUMBER(I12),I10-I12,"na")</f>
        <v>-8683316.7379419878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-0.23684973295436651</v>
      </c>
      <c r="G16" s="185">
        <f t="shared" ref="G16:H16" si="3">LN(G10/G12)</f>
        <v>-0.23557683560342957</v>
      </c>
      <c r="H16" s="185">
        <f t="shared" si="3"/>
        <v>-0.24630851467196802</v>
      </c>
      <c r="I16" s="128">
        <f>IF(ISNUMBER(I14),LN(I10/I12),"na")</f>
        <v>-0.21996864376534872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-0.23957836107658803</v>
      </c>
      <c r="I18" s="63">
        <f>IF(ISNUMBER(I16),AVERAGE(G16:I16),"na")</f>
        <v>-0.23395133134691545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2</v>
      </c>
      <c r="G22" s="129">
        <f t="shared" ref="G22" si="6">IF(G16&lt;-0.25,1,IF(G16&lt;-0.1,2,IF(G16&lt;0.1,3,IF(G16&lt;0.25,4,5))))</f>
        <v>2</v>
      </c>
      <c r="H22" s="129">
        <f>IF($H$16&lt;-0.25,1,IF($H$16&lt;-0.1,2,IF($H$16&lt;0.1,3,IF($H$16&lt;0.25,4,5))))</f>
        <v>2</v>
      </c>
      <c r="I22" s="129">
        <f>IF(ISNUMBER(I16),IF(I16&lt;-0.25,1,IF(I16&lt;-0.1,2,IF(I16&lt;0.1,3,IF(I16&lt;0.25,4,5)))),"na")</f>
        <v>2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>
        <f>IF(H$18&lt;-0.25,1,IF(H$18&lt;-0.1,2,IF(H$18&lt;0.1,3,IF(H$18&lt;0.25,4,5))))</f>
        <v>2</v>
      </c>
      <c r="I24" s="129">
        <f t="shared" ref="I24:K24" si="8">IF(I$18&lt;-0.25,1,IF(I$18&lt;-0.1,2,IF(I$18&lt;0.1,3,IF(I$18&lt;0.25,4,5))))</f>
        <v>2</v>
      </c>
      <c r="J24" s="129">
        <f t="shared" si="8"/>
        <v>5</v>
      </c>
      <c r="K24" s="129">
        <f t="shared" si="8"/>
        <v>5</v>
      </c>
    </row>
    <row r="27" spans="4:15" x14ac:dyDescent="0.2">
      <c r="D27" s="10"/>
    </row>
    <row r="29" spans="4:15" x14ac:dyDescent="0.2">
      <c r="F29" s="122"/>
    </row>
  </sheetData>
  <sheetProtection algorithmName="SHA-512" hashValue="v9WMOaZ+HgZ0FloAJXrbRaGMAcR8pGvxUeY3jQlSTSzhg2J6o7mhf+BFmgNl0D2kRb1CJg82g7EWeWJ6ReIh9Q==" saltValue="VdM0nFWYSyIqOnwfZMUKbQ==" spinCount="100000" sheet="1" objects="1" scenarios="1"/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DD073-DFF2-43EA-BE0F-62215E43B1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69EE68-40B5-4D76-A30D-7E5BD9F7B0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A1CF3-3D38-4DDA-ACCA-0BD192237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Andrew Blair</cp:lastModifiedBy>
  <cp:lastPrinted>2018-07-25T01:09:59Z</cp:lastPrinted>
  <dcterms:created xsi:type="dcterms:W3CDTF">2016-07-20T15:58:10Z</dcterms:created>
  <dcterms:modified xsi:type="dcterms:W3CDTF">2022-04-04T21:47:57Z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0x0101005B227697F19F8B4DA3D5C2B74C50E32F</vt:lpwstr>
  </property>
</Properties>
</file>