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comments3.xml" ContentType="application/vnd.openxmlformats-officedocument.spreadsheetml.comments+xml"/>
  <Override PartName="/xl/drawings/drawing13.xml" ContentType="application/vnd.openxmlformats-officedocument.drawing+xml"/>
  <Override PartName="/xl/comments4.xml" ContentType="application/vnd.openxmlformats-officedocument.spreadsheetml.comments+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mc:AlternateContent xmlns:mc="http://schemas.openxmlformats.org/markup-compatibility/2006">
    <mc:Choice Requires="x15">
      <x15ac:absPath xmlns:x15ac="http://schemas.microsoft.com/office/spreadsheetml/2010/11/ac" url="https://miltonhydro.sharepoint.com/sites/2023ratecase/Shared Documents/1. 2023_CoS_Main/3. CoS_Models/05. Live Models - No Links/"/>
    </mc:Choice>
  </mc:AlternateContent>
  <xr:revisionPtr revIDLastSave="181" documentId="8_{C02CA67F-453C-45B6-8818-A99DAEC06591}" xr6:coauthVersionLast="47" xr6:coauthVersionMax="47" xr10:uidLastSave="{101E24B3-1F79-4450-8049-347C3958B83D}"/>
  <bookViews>
    <workbookView xWindow="-120" yWindow="-120" windowWidth="29040" windowHeight="15840" tabRatio="886" firstSheet="1" activeTab="14" xr2:uid="{00000000-000D-0000-FFFF-FFFF00000000}"/>
  </bookViews>
  <sheets>
    <sheet name="1. Info" sheetId="26" r:id="rId1"/>
    <sheet name="2. Table of Contents" sheetId="17" r:id="rId2"/>
    <sheet name="3. Data_Input_Sheet" sheetId="22" r:id="rId3"/>
    <sheet name="Hidden_Data Input" sheetId="33" state="hidden" r:id="rId4"/>
    <sheet name="4. Rate_Base" sheetId="14" r:id="rId5"/>
    <sheet name="5. Utility Income" sheetId="13" r:id="rId6"/>
    <sheet name="6. Taxes_PILs" sheetId="15" r:id="rId7"/>
    <sheet name="7. Cost_of_Capital" sheetId="12" r:id="rId8"/>
    <sheet name="8. Rev_Def_Suff" sheetId="23" r:id="rId9"/>
    <sheet name="9. Rev_Reqt" sheetId="11" r:id="rId10"/>
    <sheet name="Hidden Data_Rev Reqt" sheetId="34" state="hidden" r:id="rId11"/>
    <sheet name="10. Load Forecast" sheetId="28" r:id="rId12"/>
    <sheet name="11. Cost_Allocation" sheetId="29" r:id="rId13"/>
    <sheet name="12. Res_Rate_Design" sheetId="32" state="hidden" r:id="rId14"/>
    <sheet name="13. Rate Design" sheetId="30" r:id="rId15"/>
    <sheet name="14. Tracking_Sheet" sheetId="27" r:id="rId16"/>
    <sheet name="Sheet4" sheetId="31" state="hidden" r:id="rId17"/>
  </sheets>
  <externalReferences>
    <externalReference r:id="rId18"/>
    <externalReference r:id="rId19"/>
  </externalReferences>
  <definedNames>
    <definedName name="_10._Load_Forecast">'2. Table of Contents'!$I$15</definedName>
    <definedName name="_10._Load_Forecast_A1">'10. Load Forecast'!$A$1</definedName>
    <definedName name="_11._Cost_Allocation_A1">'11. Cost_Allocation'!$A$1</definedName>
    <definedName name="_12._Rate_Design_A1">'13. Rate Design'!$A$1</definedName>
    <definedName name="_13._Tracking_Sheet_A1">'14. Tracking_Sheet'!$A$1</definedName>
    <definedName name="A" localSheetId="14">'13. Rate Design'!$C$1</definedName>
    <definedName name="brant" localSheetId="14">'13. Rate Design'!$C$5</definedName>
    <definedName name="D" localSheetId="14">'13. Rate Design'!$C$19</definedName>
    <definedName name="G" localSheetId="14">'13. Rate Design'!$C$33</definedName>
    <definedName name="h1b" localSheetId="14">'13. Rate Design'!$C$42</definedName>
    <definedName name="honi" localSheetId="14">'13. Rate Design'!$C$43</definedName>
    <definedName name="horizon" localSheetId="14">'13. Rate Design'!$C$39</definedName>
    <definedName name="J" localSheetId="14">'13. Rate Design'!$C$47</definedName>
    <definedName name="kenora" localSheetId="14">'13. Rate Design'!$C$48</definedName>
    <definedName name="LDC_LIST">[1]lists!$AM$1:$AM$80</definedName>
    <definedName name="M" localSheetId="14">'13. Rate Design'!$C$54</definedName>
    <definedName name="milton" localSheetId="14">'13. Rate Design'!$C$56</definedName>
    <definedName name="nia" localSheetId="14">'13. Rate Design'!$C$58</definedName>
    <definedName name="norfolk" localSheetId="14">'13. Rate Design'!$C$60</definedName>
    <definedName name="oshawa" localSheetId="14">'13. Rate Design'!$C$66</definedName>
    <definedName name="ott" localSheetId="14">'13. Rate Design'!$C$45</definedName>
    <definedName name="_xlnm.Print_Area" localSheetId="0">'1. Info'!$A$1:$Q$36</definedName>
    <definedName name="_xlnm.Print_Area" localSheetId="11">'10. Load Forecast'!$A$1:$V$51</definedName>
    <definedName name="_xlnm.Print_Area" localSheetId="12">'11. Cost_Allocation'!$A$1:$M$155</definedName>
    <definedName name="_xlnm.Print_Area" localSheetId="13">'12. Res_Rate_Design'!$A$1:$I$56</definedName>
    <definedName name="_xlnm.Print_Area" localSheetId="14">'13. Rate Design'!$B$1:$AO$58</definedName>
    <definedName name="_xlnm.Print_Area" localSheetId="15">'14. Tracking_Sheet'!$A$1:$O$42</definedName>
    <definedName name="_xlnm.Print_Area" localSheetId="1">'2. Table of Contents'!$A$1:$O$30</definedName>
    <definedName name="_xlnm.Print_Area" localSheetId="2">'3. Data_Input_Sheet'!$A$1:$X$65</definedName>
    <definedName name="_xlnm.Print_Area" localSheetId="4">'4. Rate_Base'!$A$1:$X$31</definedName>
    <definedName name="_xlnm.Print_Area" localSheetId="5">'5. Utility Income'!$A$1:$W$51</definedName>
    <definedName name="_xlnm.Print_Area" localSheetId="6">'6. Taxes_PILs'!$A$1:$S$42</definedName>
    <definedName name="_xlnm.Print_Area" localSheetId="7">'7. Cost_of_Capital'!$A$1:$U$59</definedName>
    <definedName name="_xlnm.Print_Area" localSheetId="8">'8. Rev_Def_Suff'!$A$10:$Q$53</definedName>
    <definedName name="_xlnm.Print_Area" localSheetId="9">'9. Rev_Reqt'!$A$1:$R$57</definedName>
    <definedName name="_xlnm.Print_Titles" localSheetId="15">'14. Tracking_Sheet'!$1:$20</definedName>
    <definedName name="ratedescription">[2]hidden1!$D$1:$D$122</definedName>
    <definedName name="renfrew" localSheetId="14">'13. Rate Design'!$C$71</definedName>
    <definedName name="S" localSheetId="14">'13. Rate Design'!$C$74</definedName>
    <definedName name="thesl" localSheetId="14">'13. Rate Design'!$C$77</definedName>
    <definedName name="units">[2]hidden1!$J$3:$J$8</definedName>
    <definedName name="V" localSheetId="14">'13. Rate Design'!$C$78</definedName>
    <definedName name="wasaga" localSheetId="14">'13. Rate Design'!$C$79</definedName>
    <definedName name="wn" localSheetId="14">'13. Rate Design'!$C$80</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3" i="22" l="1"/>
  <c r="I130" i="29" l="1"/>
  <c r="M51" i="22" l="1"/>
  <c r="U55" i="22"/>
  <c r="F18" i="12"/>
  <c r="M63" i="22"/>
  <c r="U62" i="22"/>
  <c r="U57" i="22"/>
  <c r="I25" i="33" s="1"/>
  <c r="U56" i="22"/>
  <c r="I24" i="33" s="1"/>
  <c r="M50" i="22"/>
  <c r="K40" i="15" s="1"/>
  <c r="U50" i="22"/>
  <c r="H20" i="33"/>
  <c r="U44" i="22"/>
  <c r="U29" i="22"/>
  <c r="U21" i="22"/>
  <c r="G13" i="14"/>
  <c r="M33" i="22"/>
  <c r="U33" i="22" s="1"/>
  <c r="M31" i="22"/>
  <c r="U31" i="22" s="1"/>
  <c r="M29" i="22"/>
  <c r="M28" i="22"/>
  <c r="U28" i="22" s="1"/>
  <c r="M21" i="22"/>
  <c r="U64" i="22"/>
  <c r="M62" i="22"/>
  <c r="I62" i="22" s="1"/>
  <c r="M57" i="22"/>
  <c r="F38" i="12" s="1"/>
  <c r="F40" i="12" s="1"/>
  <c r="M49" i="22"/>
  <c r="I49" i="22" s="1"/>
  <c r="Q13" i="26"/>
  <c r="Q65" i="22"/>
  <c r="Q58" i="22"/>
  <c r="Q21" i="22"/>
  <c r="I21" i="22"/>
  <c r="I65" i="22"/>
  <c r="I58" i="22"/>
  <c r="I51" i="22"/>
  <c r="A4" i="34"/>
  <c r="B4" i="34"/>
  <c r="C4" i="34"/>
  <c r="D4" i="34"/>
  <c r="E4" i="34"/>
  <c r="E3" i="34"/>
  <c r="D3" i="34"/>
  <c r="C3" i="34"/>
  <c r="B3" i="34"/>
  <c r="A3" i="34"/>
  <c r="E2" i="34"/>
  <c r="D2" i="34"/>
  <c r="C2" i="34"/>
  <c r="B2" i="34"/>
  <c r="A2" i="34"/>
  <c r="I30" i="33"/>
  <c r="I26" i="33"/>
  <c r="I10" i="33"/>
  <c r="I6" i="33"/>
  <c r="H28" i="33"/>
  <c r="H29" i="33"/>
  <c r="H30" i="33"/>
  <c r="H27" i="33"/>
  <c r="H25" i="33"/>
  <c r="H26" i="33"/>
  <c r="H22" i="33"/>
  <c r="H17" i="33"/>
  <c r="H16" i="33"/>
  <c r="A13" i="33"/>
  <c r="B13" i="33"/>
  <c r="C13" i="33"/>
  <c r="D13" i="33"/>
  <c r="E13" i="33"/>
  <c r="B12" i="33"/>
  <c r="C12" i="33"/>
  <c r="D12" i="33"/>
  <c r="E12" i="33"/>
  <c r="H13" i="33"/>
  <c r="H12" i="33"/>
  <c r="H10" i="33"/>
  <c r="H9" i="33"/>
  <c r="H6" i="33"/>
  <c r="H2" i="33"/>
  <c r="B3" i="33"/>
  <c r="C3" i="33"/>
  <c r="D3" i="33"/>
  <c r="E3" i="33"/>
  <c r="B4" i="33"/>
  <c r="C4" i="33"/>
  <c r="D4" i="33"/>
  <c r="E4" i="33"/>
  <c r="B5" i="33"/>
  <c r="C5" i="33"/>
  <c r="D5" i="33"/>
  <c r="E5" i="33"/>
  <c r="B6" i="33"/>
  <c r="C6" i="33"/>
  <c r="D6" i="33"/>
  <c r="E6" i="33"/>
  <c r="B7" i="33"/>
  <c r="C7" i="33"/>
  <c r="D7" i="33"/>
  <c r="E7" i="33"/>
  <c r="B8" i="33"/>
  <c r="C8" i="33"/>
  <c r="D8" i="33"/>
  <c r="E8" i="33"/>
  <c r="B9" i="33"/>
  <c r="C9" i="33"/>
  <c r="D9" i="33"/>
  <c r="E9" i="33"/>
  <c r="B10" i="33"/>
  <c r="C10" i="33"/>
  <c r="D10" i="33"/>
  <c r="E10" i="33"/>
  <c r="B11" i="33"/>
  <c r="C11" i="33"/>
  <c r="D11" i="33"/>
  <c r="E11" i="33"/>
  <c r="B14" i="33"/>
  <c r="C14" i="33"/>
  <c r="D14" i="33"/>
  <c r="E14" i="33"/>
  <c r="B15" i="33"/>
  <c r="C15" i="33"/>
  <c r="D15" i="33"/>
  <c r="E15" i="33"/>
  <c r="B16" i="33"/>
  <c r="C16" i="33"/>
  <c r="D16" i="33"/>
  <c r="E16" i="33"/>
  <c r="B17" i="33"/>
  <c r="C17" i="33"/>
  <c r="D17" i="33"/>
  <c r="E17" i="33"/>
  <c r="B18" i="33"/>
  <c r="C18" i="33"/>
  <c r="D18" i="33"/>
  <c r="E18" i="33"/>
  <c r="B19" i="33"/>
  <c r="C19" i="33"/>
  <c r="D19" i="33"/>
  <c r="E19" i="33"/>
  <c r="B20" i="33"/>
  <c r="C20" i="33"/>
  <c r="D20" i="33"/>
  <c r="E20" i="33"/>
  <c r="B21" i="33"/>
  <c r="C21" i="33"/>
  <c r="D21" i="33"/>
  <c r="E21" i="33"/>
  <c r="B22" i="33"/>
  <c r="C22" i="33"/>
  <c r="D22" i="33"/>
  <c r="E22" i="33"/>
  <c r="B23" i="33"/>
  <c r="C23" i="33"/>
  <c r="D23" i="33"/>
  <c r="E23" i="33"/>
  <c r="B24" i="33"/>
  <c r="C24" i="33"/>
  <c r="D24" i="33"/>
  <c r="E24" i="33"/>
  <c r="B25" i="33"/>
  <c r="C25" i="33"/>
  <c r="D25" i="33"/>
  <c r="E25" i="33"/>
  <c r="B26" i="33"/>
  <c r="C26" i="33"/>
  <c r="D26" i="33"/>
  <c r="E26" i="33"/>
  <c r="B27" i="33"/>
  <c r="C27" i="33"/>
  <c r="D27" i="33"/>
  <c r="E27" i="33"/>
  <c r="B28" i="33"/>
  <c r="C28" i="33"/>
  <c r="D28" i="33"/>
  <c r="E28" i="33"/>
  <c r="B29" i="33"/>
  <c r="C29" i="33"/>
  <c r="D29" i="33"/>
  <c r="E29" i="33"/>
  <c r="B30" i="33"/>
  <c r="C30" i="33"/>
  <c r="D30" i="33"/>
  <c r="E30" i="33"/>
  <c r="A3" i="33"/>
  <c r="A4" i="33"/>
  <c r="A5" i="33"/>
  <c r="A6" i="33"/>
  <c r="A7" i="33"/>
  <c r="A8" i="33"/>
  <c r="A9" i="33"/>
  <c r="A10" i="33"/>
  <c r="A11" i="33"/>
  <c r="A12" i="33"/>
  <c r="A14" i="33"/>
  <c r="A15" i="33"/>
  <c r="A16" i="33"/>
  <c r="A17" i="33"/>
  <c r="A18" i="33"/>
  <c r="A19" i="33"/>
  <c r="A20" i="33"/>
  <c r="A21" i="33"/>
  <c r="A22" i="33"/>
  <c r="A23" i="33"/>
  <c r="A24" i="33"/>
  <c r="A25" i="33"/>
  <c r="A26" i="33"/>
  <c r="A27" i="33"/>
  <c r="A28" i="33"/>
  <c r="A29" i="33"/>
  <c r="A30" i="33"/>
  <c r="A2" i="33"/>
  <c r="E2" i="33"/>
  <c r="D2" i="33"/>
  <c r="C2" i="33"/>
  <c r="B2" i="33"/>
  <c r="V50" i="28"/>
  <c r="T50" i="28"/>
  <c r="P50" i="28"/>
  <c r="N50" i="28"/>
  <c r="AI29" i="30"/>
  <c r="AI30" i="30"/>
  <c r="AI31" i="30"/>
  <c r="AI32" i="30"/>
  <c r="AI33" i="30"/>
  <c r="AI34" i="30"/>
  <c r="AI35" i="30"/>
  <c r="AI36" i="30"/>
  <c r="AI37" i="30"/>
  <c r="AI38" i="30"/>
  <c r="AI39" i="30"/>
  <c r="AI40" i="30"/>
  <c r="AI41" i="30"/>
  <c r="AI42" i="30"/>
  <c r="AI43" i="30"/>
  <c r="AI44" i="30"/>
  <c r="AI45" i="30"/>
  <c r="AI46" i="30"/>
  <c r="AI47" i="30"/>
  <c r="AC29" i="30"/>
  <c r="AC30" i="30"/>
  <c r="AC31" i="30"/>
  <c r="AC32" i="30"/>
  <c r="AC33" i="30"/>
  <c r="AC34" i="30"/>
  <c r="AC35" i="30"/>
  <c r="AC36" i="30"/>
  <c r="AC37" i="30"/>
  <c r="AC38" i="30"/>
  <c r="AC39" i="30"/>
  <c r="AC40" i="30"/>
  <c r="AC41" i="30"/>
  <c r="AC42" i="30"/>
  <c r="AC43" i="30"/>
  <c r="AC44" i="30"/>
  <c r="AC45" i="30"/>
  <c r="AC46" i="30"/>
  <c r="AC47" i="30"/>
  <c r="M99" i="29"/>
  <c r="N99" i="29"/>
  <c r="M100" i="29"/>
  <c r="N100" i="29"/>
  <c r="M101" i="29"/>
  <c r="N101" i="29"/>
  <c r="M102" i="29"/>
  <c r="N102" i="29"/>
  <c r="M103" i="29"/>
  <c r="N103" i="29"/>
  <c r="M104" i="29"/>
  <c r="N104" i="29"/>
  <c r="M105" i="29"/>
  <c r="N105" i="29"/>
  <c r="M106" i="29"/>
  <c r="N106" i="29"/>
  <c r="M107" i="29"/>
  <c r="N107" i="29"/>
  <c r="M108" i="29"/>
  <c r="N108" i="29"/>
  <c r="M109" i="29"/>
  <c r="N109" i="29"/>
  <c r="M110" i="29"/>
  <c r="N110" i="29"/>
  <c r="M111" i="29"/>
  <c r="N111" i="29"/>
  <c r="M112" i="29"/>
  <c r="N112" i="29"/>
  <c r="M113" i="29"/>
  <c r="N113" i="29"/>
  <c r="M114" i="29"/>
  <c r="N114" i="29"/>
  <c r="M115" i="29"/>
  <c r="N115" i="29"/>
  <c r="M116" i="29"/>
  <c r="N116" i="29"/>
  <c r="M117" i="29"/>
  <c r="N117" i="29"/>
  <c r="M118" i="29"/>
  <c r="N118" i="29"/>
  <c r="N98" i="29"/>
  <c r="M98" i="29"/>
  <c r="Q47" i="30"/>
  <c r="Q46" i="30"/>
  <c r="Q45" i="30"/>
  <c r="Q44" i="30"/>
  <c r="Q43" i="30"/>
  <c r="Q42" i="30"/>
  <c r="Q41" i="30"/>
  <c r="Q40" i="30"/>
  <c r="Q39" i="30"/>
  <c r="Q38" i="30"/>
  <c r="Q37" i="30"/>
  <c r="Q36" i="30"/>
  <c r="W47" i="30"/>
  <c r="W46" i="30"/>
  <c r="W45" i="30"/>
  <c r="W44" i="30"/>
  <c r="W43" i="30"/>
  <c r="W42" i="30"/>
  <c r="W41" i="30"/>
  <c r="W40" i="30"/>
  <c r="W39" i="30"/>
  <c r="W38" i="30"/>
  <c r="W37" i="30"/>
  <c r="W36" i="30"/>
  <c r="O47" i="30"/>
  <c r="AA47" i="30"/>
  <c r="O46" i="30"/>
  <c r="AA46" i="30"/>
  <c r="O45" i="30"/>
  <c r="AA45" i="30"/>
  <c r="O44" i="30"/>
  <c r="AA44" i="30"/>
  <c r="O43" i="30"/>
  <c r="AA43" i="30"/>
  <c r="O42" i="30"/>
  <c r="AA42" i="30"/>
  <c r="O41" i="30"/>
  <c r="AA41" i="30"/>
  <c r="O40" i="30"/>
  <c r="AA40" i="30"/>
  <c r="O39" i="30"/>
  <c r="AA39" i="30"/>
  <c r="O38" i="30"/>
  <c r="AA38" i="30"/>
  <c r="O37" i="30"/>
  <c r="AA37" i="30"/>
  <c r="O36" i="30"/>
  <c r="AA36" i="30"/>
  <c r="AK36" i="30" s="1"/>
  <c r="AO36" i="30" s="1"/>
  <c r="AK45" i="30"/>
  <c r="S47" i="30"/>
  <c r="AE47" i="30"/>
  <c r="AM47" i="30"/>
  <c r="S46" i="30"/>
  <c r="AE46" i="30"/>
  <c r="AM46" i="30"/>
  <c r="S45" i="30"/>
  <c r="AE45" i="30"/>
  <c r="AM45" i="30"/>
  <c r="S44" i="30"/>
  <c r="AE44" i="30"/>
  <c r="AM44" i="30"/>
  <c r="S42" i="30"/>
  <c r="AE42" i="30"/>
  <c r="AM42" i="30"/>
  <c r="S41" i="30"/>
  <c r="AE41" i="30"/>
  <c r="AM41" i="30"/>
  <c r="S40" i="30"/>
  <c r="AE40" i="30"/>
  <c r="AM40" i="30"/>
  <c r="S39" i="30"/>
  <c r="AE39" i="30"/>
  <c r="AM39" i="30"/>
  <c r="S38" i="30"/>
  <c r="AE38" i="30"/>
  <c r="AM38" i="30"/>
  <c r="S37" i="30"/>
  <c r="AE37" i="30"/>
  <c r="AM37" i="30"/>
  <c r="S36" i="30"/>
  <c r="AE36" i="30"/>
  <c r="AM36" i="30"/>
  <c r="AK47" i="30"/>
  <c r="AK46" i="30"/>
  <c r="AK44" i="30"/>
  <c r="S43" i="30"/>
  <c r="AE43" i="30"/>
  <c r="AM43" i="30"/>
  <c r="AK43" i="30"/>
  <c r="AK42" i="30"/>
  <c r="AK41" i="30"/>
  <c r="AK40" i="30"/>
  <c r="AK39" i="30"/>
  <c r="AK38" i="30"/>
  <c r="AK37" i="30"/>
  <c r="D35" i="32"/>
  <c r="D34" i="32"/>
  <c r="AO46" i="30"/>
  <c r="AO43" i="30"/>
  <c r="AO40" i="30"/>
  <c r="AO41" i="30"/>
  <c r="AO42" i="30"/>
  <c r="AO45" i="30"/>
  <c r="AO37" i="30"/>
  <c r="AO38" i="30"/>
  <c r="AO44" i="30"/>
  <c r="AO39" i="30"/>
  <c r="AO47" i="30"/>
  <c r="K131" i="29"/>
  <c r="K132" i="29"/>
  <c r="M132" i="29" s="1"/>
  <c r="K133" i="29"/>
  <c r="N133" i="29" s="1"/>
  <c r="K134" i="29"/>
  <c r="K135" i="29"/>
  <c r="K136" i="29"/>
  <c r="K137" i="29"/>
  <c r="M137" i="29" s="1"/>
  <c r="K138" i="29"/>
  <c r="K139" i="29"/>
  <c r="K140" i="29"/>
  <c r="K141" i="29"/>
  <c r="K142" i="29"/>
  <c r="K143" i="29"/>
  <c r="K144" i="29"/>
  <c r="K145" i="29"/>
  <c r="K146" i="29"/>
  <c r="K147" i="29"/>
  <c r="K148" i="29"/>
  <c r="K149" i="29"/>
  <c r="K130" i="29"/>
  <c r="G128" i="29"/>
  <c r="I128" i="29" s="1"/>
  <c r="M141" i="29"/>
  <c r="N141" i="29"/>
  <c r="M148" i="29"/>
  <c r="N148" i="29"/>
  <c r="M144" i="29"/>
  <c r="N144" i="29"/>
  <c r="M140" i="29"/>
  <c r="N140" i="29"/>
  <c r="M149" i="29"/>
  <c r="N149" i="29"/>
  <c r="M147" i="29"/>
  <c r="N147" i="29"/>
  <c r="M143" i="29"/>
  <c r="N143" i="29"/>
  <c r="M139" i="29"/>
  <c r="N139" i="29"/>
  <c r="M145" i="29"/>
  <c r="N145" i="29"/>
  <c r="M146" i="29"/>
  <c r="N146" i="29"/>
  <c r="M142" i="29"/>
  <c r="N142" i="29"/>
  <c r="M138" i="29"/>
  <c r="N138" i="29"/>
  <c r="M131" i="29"/>
  <c r="N131" i="29"/>
  <c r="M136" i="29"/>
  <c r="N136" i="29"/>
  <c r="M135" i="29"/>
  <c r="N135" i="29"/>
  <c r="N130" i="29"/>
  <c r="M130" i="29"/>
  <c r="M134" i="29"/>
  <c r="N134" i="29"/>
  <c r="M133" i="29"/>
  <c r="N132" i="29"/>
  <c r="I106" i="29"/>
  <c r="E138" i="29"/>
  <c r="G138" i="29"/>
  <c r="I138" i="29"/>
  <c r="I107" i="29"/>
  <c r="E139" i="29"/>
  <c r="G139" i="29"/>
  <c r="I139" i="29"/>
  <c r="I108" i="29"/>
  <c r="E140" i="29"/>
  <c r="G140" i="29"/>
  <c r="I140" i="29"/>
  <c r="I109" i="29"/>
  <c r="E141" i="29"/>
  <c r="G141" i="29"/>
  <c r="I141" i="29"/>
  <c r="I110" i="29"/>
  <c r="E142" i="29"/>
  <c r="G142" i="29"/>
  <c r="I142" i="29"/>
  <c r="I111" i="29"/>
  <c r="E143" i="29"/>
  <c r="G143" i="29"/>
  <c r="I143" i="29"/>
  <c r="I112" i="29"/>
  <c r="E144" i="29"/>
  <c r="G144" i="29"/>
  <c r="I144" i="29"/>
  <c r="I113" i="29"/>
  <c r="E145" i="29"/>
  <c r="G145" i="29"/>
  <c r="I145" i="29"/>
  <c r="I114" i="29"/>
  <c r="E146" i="29"/>
  <c r="G146" i="29"/>
  <c r="I146" i="29"/>
  <c r="I115" i="29"/>
  <c r="E147" i="29"/>
  <c r="G147" i="29"/>
  <c r="I147" i="29"/>
  <c r="I116" i="29"/>
  <c r="E148" i="29"/>
  <c r="G148" i="29"/>
  <c r="I148" i="29"/>
  <c r="I117" i="29"/>
  <c r="E149" i="29"/>
  <c r="G149" i="29"/>
  <c r="I149" i="29"/>
  <c r="G117" i="29"/>
  <c r="G106" i="29"/>
  <c r="G107" i="29"/>
  <c r="G108" i="29"/>
  <c r="G109" i="29"/>
  <c r="G110" i="29"/>
  <c r="G111" i="29"/>
  <c r="G112" i="29"/>
  <c r="G113" i="29"/>
  <c r="G114" i="29"/>
  <c r="G115" i="29"/>
  <c r="G116" i="29"/>
  <c r="H20" i="30"/>
  <c r="E20" i="29"/>
  <c r="C29" i="29"/>
  <c r="C63" i="29"/>
  <c r="C99" i="29"/>
  <c r="C131" i="29"/>
  <c r="C30" i="29"/>
  <c r="C64" i="29"/>
  <c r="C100" i="29"/>
  <c r="C132" i="29"/>
  <c r="C31" i="29"/>
  <c r="C65" i="29"/>
  <c r="C101" i="29"/>
  <c r="C133" i="29"/>
  <c r="C32" i="29"/>
  <c r="C66" i="29"/>
  <c r="C102" i="29"/>
  <c r="C134" i="29"/>
  <c r="C33" i="29"/>
  <c r="C67" i="29"/>
  <c r="C103" i="29"/>
  <c r="C135" i="29" s="1"/>
  <c r="C34" i="29"/>
  <c r="C68" i="29"/>
  <c r="C104" i="29" s="1"/>
  <c r="C136" i="29" s="1"/>
  <c r="C35" i="29"/>
  <c r="C69" i="29"/>
  <c r="C105" i="29"/>
  <c r="C137" i="29"/>
  <c r="C36" i="29"/>
  <c r="C70" i="29" s="1"/>
  <c r="C106" i="29" s="1"/>
  <c r="C138" i="29" s="1"/>
  <c r="C37" i="29"/>
  <c r="C71" i="29"/>
  <c r="C107" i="29"/>
  <c r="C139" i="29"/>
  <c r="C38" i="29"/>
  <c r="C72" i="29"/>
  <c r="C108" i="29"/>
  <c r="C140" i="29"/>
  <c r="C39" i="29"/>
  <c r="C73" i="29"/>
  <c r="C109" i="29"/>
  <c r="C141" i="29"/>
  <c r="C40" i="29"/>
  <c r="C74" i="29"/>
  <c r="C110" i="29"/>
  <c r="C142" i="29"/>
  <c r="C41" i="29"/>
  <c r="C75" i="29"/>
  <c r="C111" i="29"/>
  <c r="C143" i="29"/>
  <c r="C42" i="29"/>
  <c r="C76" i="29"/>
  <c r="C112" i="29"/>
  <c r="C144" i="29"/>
  <c r="C43" i="29"/>
  <c r="C77" i="29"/>
  <c r="C113" i="29"/>
  <c r="C145" i="29"/>
  <c r="C44" i="29"/>
  <c r="C78" i="29"/>
  <c r="C114" i="29"/>
  <c r="C146" i="29"/>
  <c r="C45" i="29"/>
  <c r="C79" i="29"/>
  <c r="C115" i="29"/>
  <c r="C147" i="29"/>
  <c r="C46" i="29"/>
  <c r="C80" i="29"/>
  <c r="C116" i="29"/>
  <c r="C148" i="29"/>
  <c r="C47" i="29"/>
  <c r="C81" i="29"/>
  <c r="C117" i="29"/>
  <c r="C149" i="29"/>
  <c r="C28" i="29"/>
  <c r="C62" i="29"/>
  <c r="C98" i="29"/>
  <c r="C130" i="29"/>
  <c r="AG29" i="30"/>
  <c r="AG30" i="30"/>
  <c r="AG31" i="30"/>
  <c r="AG32" i="30"/>
  <c r="AG33" i="30"/>
  <c r="AG34" i="30"/>
  <c r="AG35" i="30"/>
  <c r="AG36" i="30"/>
  <c r="AG37" i="30"/>
  <c r="AG38" i="30"/>
  <c r="AG39" i="30"/>
  <c r="AG40" i="30"/>
  <c r="AG41" i="30"/>
  <c r="AG42" i="30"/>
  <c r="AG43" i="30"/>
  <c r="AG44" i="30"/>
  <c r="AG45" i="30"/>
  <c r="AG46" i="30"/>
  <c r="AG47" i="30"/>
  <c r="AG28" i="30"/>
  <c r="AA24" i="30"/>
  <c r="D29" i="30"/>
  <c r="D30" i="30"/>
  <c r="D31" i="30"/>
  <c r="D32" i="30"/>
  <c r="D33" i="30"/>
  <c r="D34" i="30"/>
  <c r="D35" i="30"/>
  <c r="D36" i="30"/>
  <c r="D37" i="30"/>
  <c r="D38" i="30"/>
  <c r="D39" i="30"/>
  <c r="D40" i="30"/>
  <c r="D41" i="30"/>
  <c r="D42" i="30"/>
  <c r="D43" i="30"/>
  <c r="D44" i="30"/>
  <c r="D45" i="30"/>
  <c r="D46" i="30"/>
  <c r="D47" i="30"/>
  <c r="D28" i="30"/>
  <c r="AC6" i="30"/>
  <c r="AC5" i="30"/>
  <c r="AC4" i="30"/>
  <c r="H41" i="30"/>
  <c r="H40" i="30"/>
  <c r="L41" i="30"/>
  <c r="J45" i="30"/>
  <c r="J38" i="30"/>
  <c r="J46" i="30"/>
  <c r="J37" i="30"/>
  <c r="J30" i="30"/>
  <c r="L40" i="30"/>
  <c r="H47" i="30"/>
  <c r="J44" i="30"/>
  <c r="H46" i="30"/>
  <c r="H38" i="30"/>
  <c r="J43" i="30"/>
  <c r="J36" i="30"/>
  <c r="H45" i="30"/>
  <c r="J34" i="30"/>
  <c r="L37" i="30"/>
  <c r="L29" i="30"/>
  <c r="L39" i="30"/>
  <c r="H37" i="30"/>
  <c r="J42" i="30"/>
  <c r="L45" i="30"/>
  <c r="H44" i="30"/>
  <c r="H36" i="30"/>
  <c r="J41" i="30"/>
  <c r="J33" i="30"/>
  <c r="L44" i="30"/>
  <c r="L36" i="30"/>
  <c r="H39" i="30"/>
  <c r="L47" i="30"/>
  <c r="H43" i="30"/>
  <c r="L28" i="30"/>
  <c r="J40" i="30"/>
  <c r="J32" i="30"/>
  <c r="L43" i="30"/>
  <c r="L35" i="30"/>
  <c r="H42" i="30"/>
  <c r="J47" i="30"/>
  <c r="J39" i="30"/>
  <c r="J31" i="30"/>
  <c r="L42" i="30"/>
  <c r="V27" i="28"/>
  <c r="T27" i="28"/>
  <c r="T26" i="28"/>
  <c r="R27" i="28"/>
  <c r="R26" i="28"/>
  <c r="R24" i="28"/>
  <c r="P27" i="28"/>
  <c r="N27" i="28"/>
  <c r="N26" i="28"/>
  <c r="L27" i="28"/>
  <c r="L26" i="28"/>
  <c r="L24" i="28"/>
  <c r="F24" i="28"/>
  <c r="L38" i="30"/>
  <c r="L46" i="30"/>
  <c r="Q41" i="11"/>
  <c r="F41" i="11"/>
  <c r="D30" i="27"/>
  <c r="E30" i="27"/>
  <c r="F30" i="27"/>
  <c r="G30" i="27"/>
  <c r="H30" i="27"/>
  <c r="I30" i="27"/>
  <c r="J30" i="27"/>
  <c r="K30" i="27"/>
  <c r="L30" i="27"/>
  <c r="M30" i="27"/>
  <c r="N30" i="27"/>
  <c r="O30" i="27"/>
  <c r="D33" i="27"/>
  <c r="E33" i="27"/>
  <c r="F33" i="27"/>
  <c r="G33" i="27"/>
  <c r="H33" i="27"/>
  <c r="I33" i="27"/>
  <c r="J33" i="27"/>
  <c r="K33" i="27"/>
  <c r="L33" i="27"/>
  <c r="M33" i="27"/>
  <c r="N33" i="27"/>
  <c r="O33" i="27"/>
  <c r="D36" i="27"/>
  <c r="E36" i="27"/>
  <c r="F36" i="27"/>
  <c r="G36" i="27"/>
  <c r="H36" i="27"/>
  <c r="I36" i="27"/>
  <c r="J36" i="27"/>
  <c r="K36" i="27"/>
  <c r="L36" i="27"/>
  <c r="M36" i="27"/>
  <c r="N36" i="27"/>
  <c r="O36" i="27"/>
  <c r="D39" i="27"/>
  <c r="E39" i="27"/>
  <c r="F39" i="27"/>
  <c r="G39" i="27"/>
  <c r="H39" i="27"/>
  <c r="I39" i="27"/>
  <c r="J39" i="27"/>
  <c r="K39" i="27"/>
  <c r="L39" i="27"/>
  <c r="M39" i="27"/>
  <c r="N39" i="27"/>
  <c r="O39" i="27"/>
  <c r="D42" i="27"/>
  <c r="E42" i="27"/>
  <c r="F42" i="27"/>
  <c r="G42" i="27"/>
  <c r="H42" i="27"/>
  <c r="I42" i="27"/>
  <c r="J42" i="27"/>
  <c r="K42" i="27"/>
  <c r="L42" i="27"/>
  <c r="M42" i="27"/>
  <c r="N42" i="27"/>
  <c r="O42" i="27"/>
  <c r="D45" i="27"/>
  <c r="E45" i="27"/>
  <c r="F45" i="27"/>
  <c r="G45" i="27"/>
  <c r="H45" i="27"/>
  <c r="I45" i="27"/>
  <c r="J45" i="27"/>
  <c r="K45" i="27"/>
  <c r="L45" i="27"/>
  <c r="M45" i="27"/>
  <c r="N45" i="27"/>
  <c r="O45" i="27"/>
  <c r="D48" i="27"/>
  <c r="E48" i="27"/>
  <c r="F48" i="27"/>
  <c r="G48" i="27"/>
  <c r="H48" i="27"/>
  <c r="I48" i="27"/>
  <c r="J48" i="27"/>
  <c r="K48" i="27"/>
  <c r="L48" i="27"/>
  <c r="M48" i="27"/>
  <c r="N48" i="27"/>
  <c r="O48" i="27"/>
  <c r="D51" i="27"/>
  <c r="E51" i="27"/>
  <c r="F51" i="27"/>
  <c r="G51" i="27"/>
  <c r="H51" i="27"/>
  <c r="I51" i="27"/>
  <c r="J51" i="27"/>
  <c r="K51" i="27"/>
  <c r="L51" i="27"/>
  <c r="M51" i="27"/>
  <c r="N51" i="27"/>
  <c r="O51" i="27"/>
  <c r="D54" i="27"/>
  <c r="E54" i="27"/>
  <c r="F54" i="27"/>
  <c r="G54" i="27"/>
  <c r="H54" i="27"/>
  <c r="I54" i="27"/>
  <c r="J54" i="27"/>
  <c r="K54" i="27"/>
  <c r="L54" i="27"/>
  <c r="M54" i="27"/>
  <c r="N54" i="27"/>
  <c r="O54" i="27"/>
  <c r="D57" i="27"/>
  <c r="E57" i="27"/>
  <c r="F57" i="27"/>
  <c r="G57" i="27"/>
  <c r="H57" i="27"/>
  <c r="I57" i="27"/>
  <c r="J57" i="27"/>
  <c r="K57" i="27"/>
  <c r="L57" i="27"/>
  <c r="M57" i="27"/>
  <c r="N57" i="27"/>
  <c r="O57" i="27"/>
  <c r="D60" i="27"/>
  <c r="E60" i="27"/>
  <c r="F60" i="27"/>
  <c r="G60" i="27"/>
  <c r="H60" i="27"/>
  <c r="I60" i="27"/>
  <c r="J60" i="27"/>
  <c r="K60" i="27"/>
  <c r="L60" i="27"/>
  <c r="M60" i="27"/>
  <c r="N60" i="27"/>
  <c r="O60" i="27"/>
  <c r="D63" i="27"/>
  <c r="E63" i="27"/>
  <c r="F63" i="27"/>
  <c r="G63" i="27"/>
  <c r="H63" i="27"/>
  <c r="I63" i="27"/>
  <c r="J63" i="27"/>
  <c r="K63" i="27"/>
  <c r="L63" i="27"/>
  <c r="M63" i="27"/>
  <c r="N63" i="27"/>
  <c r="O63" i="27"/>
  <c r="D66" i="27"/>
  <c r="E66" i="27"/>
  <c r="F66" i="27"/>
  <c r="G66" i="27"/>
  <c r="H66" i="27"/>
  <c r="I66" i="27"/>
  <c r="J66" i="27"/>
  <c r="K66" i="27"/>
  <c r="L66" i="27"/>
  <c r="M66" i="27"/>
  <c r="N66" i="27"/>
  <c r="O66" i="27"/>
  <c r="D69" i="27"/>
  <c r="E69" i="27"/>
  <c r="F69" i="27"/>
  <c r="G69" i="27"/>
  <c r="H69" i="27"/>
  <c r="I69" i="27"/>
  <c r="J69" i="27"/>
  <c r="K69" i="27"/>
  <c r="L69" i="27"/>
  <c r="M69" i="27"/>
  <c r="N69" i="27"/>
  <c r="O69" i="27"/>
  <c r="D72" i="27"/>
  <c r="E72" i="27"/>
  <c r="F72" i="27"/>
  <c r="G72" i="27"/>
  <c r="H72" i="27"/>
  <c r="I72" i="27"/>
  <c r="J72" i="27"/>
  <c r="K72" i="27"/>
  <c r="L72" i="27"/>
  <c r="M72" i="27"/>
  <c r="N72" i="27"/>
  <c r="O72" i="27"/>
  <c r="D75" i="27"/>
  <c r="E75" i="27"/>
  <c r="F75" i="27"/>
  <c r="G75" i="27"/>
  <c r="H75" i="27"/>
  <c r="I75" i="27"/>
  <c r="J75" i="27"/>
  <c r="K75" i="27"/>
  <c r="L75" i="27"/>
  <c r="M75" i="27"/>
  <c r="N75" i="27"/>
  <c r="O75" i="27"/>
  <c r="D78" i="27"/>
  <c r="E78" i="27"/>
  <c r="F78" i="27"/>
  <c r="G78" i="27"/>
  <c r="H78" i="27"/>
  <c r="I78" i="27"/>
  <c r="J78" i="27"/>
  <c r="K78" i="27"/>
  <c r="L78" i="27"/>
  <c r="M78" i="27"/>
  <c r="N78" i="27"/>
  <c r="O78" i="27"/>
  <c r="D81" i="27"/>
  <c r="E81" i="27"/>
  <c r="F81" i="27"/>
  <c r="G81" i="27"/>
  <c r="H81" i="27"/>
  <c r="I81" i="27"/>
  <c r="J81" i="27"/>
  <c r="K81" i="27"/>
  <c r="L81" i="27"/>
  <c r="M81" i="27"/>
  <c r="N81" i="27"/>
  <c r="O81" i="27"/>
  <c r="D84" i="27"/>
  <c r="E84" i="27"/>
  <c r="F84" i="27"/>
  <c r="G84" i="27"/>
  <c r="H84" i="27"/>
  <c r="I84" i="27"/>
  <c r="J84" i="27"/>
  <c r="K84" i="27"/>
  <c r="L84" i="27"/>
  <c r="M84" i="27"/>
  <c r="N84" i="27"/>
  <c r="O84" i="27"/>
  <c r="D87" i="27"/>
  <c r="E87" i="27"/>
  <c r="F87" i="27"/>
  <c r="G87" i="27"/>
  <c r="H87" i="27"/>
  <c r="I87" i="27"/>
  <c r="J87" i="27"/>
  <c r="K87" i="27"/>
  <c r="L87" i="27"/>
  <c r="M87" i="27"/>
  <c r="N87" i="27"/>
  <c r="O87" i="27"/>
  <c r="D90" i="27"/>
  <c r="E90" i="27"/>
  <c r="F90" i="27"/>
  <c r="G90" i="27"/>
  <c r="H90" i="27"/>
  <c r="I90" i="27"/>
  <c r="J90" i="27"/>
  <c r="K90" i="27"/>
  <c r="L90" i="27"/>
  <c r="M90" i="27"/>
  <c r="N90" i="27"/>
  <c r="O90" i="27"/>
  <c r="D93" i="27"/>
  <c r="E93" i="27"/>
  <c r="F93" i="27"/>
  <c r="G93" i="27"/>
  <c r="H93" i="27"/>
  <c r="I93" i="27"/>
  <c r="J93" i="27"/>
  <c r="K93" i="27"/>
  <c r="L93" i="27"/>
  <c r="M93" i="27"/>
  <c r="N93" i="27"/>
  <c r="O93" i="27"/>
  <c r="D96" i="27"/>
  <c r="E96" i="27"/>
  <c r="F96" i="27"/>
  <c r="G96" i="27"/>
  <c r="H96" i="27"/>
  <c r="I96" i="27"/>
  <c r="J96" i="27"/>
  <c r="K96" i="27"/>
  <c r="L96" i="27"/>
  <c r="M96" i="27"/>
  <c r="N96" i="27"/>
  <c r="O96" i="27"/>
  <c r="D99" i="27"/>
  <c r="E99" i="27"/>
  <c r="F99" i="27"/>
  <c r="G99" i="27"/>
  <c r="H99" i="27"/>
  <c r="I99" i="27"/>
  <c r="J99" i="27"/>
  <c r="K99" i="27"/>
  <c r="L99" i="27"/>
  <c r="M99" i="27"/>
  <c r="N99" i="27"/>
  <c r="O99" i="27"/>
  <c r="D102" i="27"/>
  <c r="E102" i="27"/>
  <c r="F102" i="27"/>
  <c r="G102" i="27"/>
  <c r="H102" i="27"/>
  <c r="I102" i="27"/>
  <c r="J102" i="27"/>
  <c r="K102" i="27"/>
  <c r="L102" i="27"/>
  <c r="M102" i="27"/>
  <c r="N102" i="27"/>
  <c r="O102" i="27"/>
  <c r="D105" i="27"/>
  <c r="E105" i="27"/>
  <c r="F105" i="27"/>
  <c r="G105" i="27"/>
  <c r="H105" i="27"/>
  <c r="I105" i="27"/>
  <c r="J105" i="27"/>
  <c r="K105" i="27"/>
  <c r="L105" i="27"/>
  <c r="M105" i="27"/>
  <c r="N105" i="27"/>
  <c r="O105" i="27"/>
  <c r="D108" i="27"/>
  <c r="E108" i="27"/>
  <c r="F108" i="27"/>
  <c r="G108" i="27"/>
  <c r="H108" i="27"/>
  <c r="I108" i="27"/>
  <c r="J108" i="27"/>
  <c r="K108" i="27"/>
  <c r="L108" i="27"/>
  <c r="M108" i="27"/>
  <c r="N108" i="27"/>
  <c r="O108" i="27"/>
  <c r="D111" i="27"/>
  <c r="E111" i="27"/>
  <c r="F111" i="27"/>
  <c r="G111" i="27"/>
  <c r="H111" i="27"/>
  <c r="I111" i="27"/>
  <c r="J111" i="27"/>
  <c r="K111" i="27"/>
  <c r="L111" i="27"/>
  <c r="M111" i="27"/>
  <c r="N111" i="27"/>
  <c r="O111" i="27"/>
  <c r="D114" i="27"/>
  <c r="E114" i="27"/>
  <c r="F114" i="27"/>
  <c r="G114" i="27"/>
  <c r="H114" i="27"/>
  <c r="I114" i="27"/>
  <c r="J114" i="27"/>
  <c r="K114" i="27"/>
  <c r="L114" i="27"/>
  <c r="M114" i="27"/>
  <c r="N114" i="27"/>
  <c r="O114" i="27"/>
  <c r="D117" i="27"/>
  <c r="E117" i="27"/>
  <c r="F117" i="27"/>
  <c r="G117" i="27"/>
  <c r="H117" i="27"/>
  <c r="I117" i="27"/>
  <c r="J117" i="27"/>
  <c r="K117" i="27"/>
  <c r="L117" i="27"/>
  <c r="M117" i="27"/>
  <c r="N117" i="27"/>
  <c r="O117" i="27"/>
  <c r="D120" i="27"/>
  <c r="E120" i="27"/>
  <c r="F120" i="27"/>
  <c r="G120" i="27"/>
  <c r="H120" i="27"/>
  <c r="I120" i="27"/>
  <c r="J120" i="27"/>
  <c r="K120" i="27"/>
  <c r="L120" i="27"/>
  <c r="M120" i="27"/>
  <c r="N120" i="27"/>
  <c r="O120" i="27"/>
  <c r="D123" i="27"/>
  <c r="E123" i="27"/>
  <c r="F123" i="27"/>
  <c r="G123" i="27"/>
  <c r="H123" i="27"/>
  <c r="I123" i="27"/>
  <c r="J123" i="27"/>
  <c r="K123" i="27"/>
  <c r="L123" i="27"/>
  <c r="M123" i="27"/>
  <c r="N123" i="27"/>
  <c r="O123" i="27"/>
  <c r="D126" i="27"/>
  <c r="E126" i="27"/>
  <c r="F126" i="27"/>
  <c r="G126" i="27"/>
  <c r="H126" i="27"/>
  <c r="I126" i="27"/>
  <c r="J126" i="27"/>
  <c r="K126" i="27"/>
  <c r="L126" i="27"/>
  <c r="M126" i="27"/>
  <c r="N126" i="27"/>
  <c r="O126" i="27"/>
  <c r="D129" i="27"/>
  <c r="E129" i="27"/>
  <c r="F129" i="27"/>
  <c r="G129" i="27"/>
  <c r="H129" i="27"/>
  <c r="I129" i="27"/>
  <c r="J129" i="27"/>
  <c r="K129" i="27"/>
  <c r="L129" i="27"/>
  <c r="M129" i="27"/>
  <c r="N129" i="27"/>
  <c r="O129" i="27"/>
  <c r="D132" i="27"/>
  <c r="E132" i="27"/>
  <c r="F132" i="27"/>
  <c r="G132" i="27"/>
  <c r="H132" i="27"/>
  <c r="I132" i="27"/>
  <c r="J132" i="27"/>
  <c r="K132" i="27"/>
  <c r="L132" i="27"/>
  <c r="M132" i="27"/>
  <c r="N132" i="27"/>
  <c r="O132" i="27"/>
  <c r="D135" i="27"/>
  <c r="E135" i="27"/>
  <c r="F135" i="27"/>
  <c r="G135" i="27"/>
  <c r="H135" i="27"/>
  <c r="I135" i="27"/>
  <c r="J135" i="27"/>
  <c r="K135" i="27"/>
  <c r="L135" i="27"/>
  <c r="M135" i="27"/>
  <c r="N135" i="27"/>
  <c r="O135" i="27"/>
  <c r="D138" i="27"/>
  <c r="E138" i="27"/>
  <c r="F138" i="27"/>
  <c r="G138" i="27"/>
  <c r="H138" i="27"/>
  <c r="I138" i="27"/>
  <c r="J138" i="27"/>
  <c r="K138" i="27"/>
  <c r="L138" i="27"/>
  <c r="M138" i="27"/>
  <c r="N138" i="27"/>
  <c r="O138" i="27"/>
  <c r="D141" i="27"/>
  <c r="E141" i="27"/>
  <c r="F141" i="27"/>
  <c r="G141" i="27"/>
  <c r="H141" i="27"/>
  <c r="I141" i="27"/>
  <c r="J141" i="27"/>
  <c r="K141" i="27"/>
  <c r="L141" i="27"/>
  <c r="M141" i="27"/>
  <c r="N141" i="27"/>
  <c r="O141" i="27"/>
  <c r="D144" i="27"/>
  <c r="E144" i="27"/>
  <c r="F144" i="27"/>
  <c r="G144" i="27"/>
  <c r="H144" i="27"/>
  <c r="I144" i="27"/>
  <c r="J144" i="27"/>
  <c r="K144" i="27"/>
  <c r="L144" i="27"/>
  <c r="M144" i="27"/>
  <c r="N144" i="27"/>
  <c r="O144" i="27"/>
  <c r="D147" i="27"/>
  <c r="E147" i="27"/>
  <c r="F147" i="27"/>
  <c r="G147" i="27"/>
  <c r="H147" i="27"/>
  <c r="I147" i="27"/>
  <c r="J147" i="27"/>
  <c r="K147" i="27"/>
  <c r="L147" i="27"/>
  <c r="M147" i="27"/>
  <c r="N147" i="27"/>
  <c r="O147" i="27"/>
  <c r="D150" i="27"/>
  <c r="E150" i="27"/>
  <c r="F150" i="27"/>
  <c r="G150" i="27"/>
  <c r="H150" i="27"/>
  <c r="I150" i="27"/>
  <c r="J150" i="27"/>
  <c r="K150" i="27"/>
  <c r="L150" i="27"/>
  <c r="M150" i="27"/>
  <c r="N150" i="27"/>
  <c r="O150" i="27"/>
  <c r="D153" i="27"/>
  <c r="E153" i="27"/>
  <c r="F153" i="27"/>
  <c r="G153" i="27"/>
  <c r="H153" i="27"/>
  <c r="I153" i="27"/>
  <c r="J153" i="27"/>
  <c r="K153" i="27"/>
  <c r="L153" i="27"/>
  <c r="M153" i="27"/>
  <c r="N153" i="27"/>
  <c r="O153" i="27"/>
  <c r="D156" i="27"/>
  <c r="E156" i="27"/>
  <c r="F156" i="27"/>
  <c r="G156" i="27"/>
  <c r="H156" i="27"/>
  <c r="I156" i="27"/>
  <c r="J156" i="27"/>
  <c r="K156" i="27"/>
  <c r="L156" i="27"/>
  <c r="M156" i="27"/>
  <c r="N156" i="27"/>
  <c r="O156" i="27"/>
  <c r="D159" i="27"/>
  <c r="E159" i="27"/>
  <c r="F159" i="27"/>
  <c r="G159" i="27"/>
  <c r="H159" i="27"/>
  <c r="I159" i="27"/>
  <c r="J159" i="27"/>
  <c r="K159" i="27"/>
  <c r="L159" i="27"/>
  <c r="M159" i="27"/>
  <c r="N159" i="27"/>
  <c r="O159" i="27"/>
  <c r="D162" i="27"/>
  <c r="E162" i="27"/>
  <c r="F162" i="27"/>
  <c r="G162" i="27"/>
  <c r="H162" i="27"/>
  <c r="I162" i="27"/>
  <c r="J162" i="27"/>
  <c r="K162" i="27"/>
  <c r="L162" i="27"/>
  <c r="M162" i="27"/>
  <c r="N162" i="27"/>
  <c r="O162" i="27"/>
  <c r="D165" i="27"/>
  <c r="E165" i="27"/>
  <c r="F165" i="27"/>
  <c r="G165" i="27"/>
  <c r="H165" i="27"/>
  <c r="I165" i="27"/>
  <c r="J165" i="27"/>
  <c r="K165" i="27"/>
  <c r="L165" i="27"/>
  <c r="M165" i="27"/>
  <c r="N165" i="27"/>
  <c r="O165" i="27"/>
  <c r="D168" i="27"/>
  <c r="E168" i="27"/>
  <c r="F168" i="27"/>
  <c r="G168" i="27"/>
  <c r="H168" i="27"/>
  <c r="I168" i="27"/>
  <c r="J168" i="27"/>
  <c r="K168" i="27"/>
  <c r="L168" i="27"/>
  <c r="M168" i="27"/>
  <c r="N168" i="27"/>
  <c r="O168" i="27"/>
  <c r="D171" i="27"/>
  <c r="E171" i="27"/>
  <c r="F171" i="27"/>
  <c r="G171" i="27"/>
  <c r="H171" i="27"/>
  <c r="I171" i="27"/>
  <c r="J171" i="27"/>
  <c r="K171" i="27"/>
  <c r="L171" i="27"/>
  <c r="M171" i="27"/>
  <c r="N171" i="27"/>
  <c r="O171" i="27"/>
  <c r="D174" i="27"/>
  <c r="E174" i="27"/>
  <c r="F174" i="27"/>
  <c r="G174" i="27"/>
  <c r="H174" i="27"/>
  <c r="I174" i="27"/>
  <c r="J174" i="27"/>
  <c r="K174" i="27"/>
  <c r="L174" i="27"/>
  <c r="M174" i="27"/>
  <c r="N174" i="27"/>
  <c r="O174" i="27"/>
  <c r="D177" i="27"/>
  <c r="E177" i="27"/>
  <c r="F177" i="27"/>
  <c r="G177" i="27"/>
  <c r="H177" i="27"/>
  <c r="I177" i="27"/>
  <c r="J177" i="27"/>
  <c r="K177" i="27"/>
  <c r="L177" i="27"/>
  <c r="M177" i="27"/>
  <c r="N177" i="27"/>
  <c r="O177" i="27"/>
  <c r="D180" i="27"/>
  <c r="E180" i="27"/>
  <c r="F180" i="27"/>
  <c r="G180" i="27"/>
  <c r="H180" i="27"/>
  <c r="I180" i="27"/>
  <c r="J180" i="27"/>
  <c r="K180" i="27"/>
  <c r="L180" i="27"/>
  <c r="M180" i="27"/>
  <c r="N180" i="27"/>
  <c r="O180" i="27"/>
  <c r="D183" i="27"/>
  <c r="E183" i="27"/>
  <c r="F183" i="27"/>
  <c r="G183" i="27"/>
  <c r="H183" i="27"/>
  <c r="I183" i="27"/>
  <c r="J183" i="27"/>
  <c r="K183" i="27"/>
  <c r="L183" i="27"/>
  <c r="M183" i="27"/>
  <c r="N183" i="27"/>
  <c r="O183" i="27"/>
  <c r="D186" i="27"/>
  <c r="E186" i="27"/>
  <c r="F186" i="27"/>
  <c r="G186" i="27"/>
  <c r="H186" i="27"/>
  <c r="I186" i="27"/>
  <c r="J186" i="27"/>
  <c r="K186" i="27"/>
  <c r="L186" i="27"/>
  <c r="M186" i="27"/>
  <c r="N186" i="27"/>
  <c r="O186" i="27"/>
  <c r="D189" i="27"/>
  <c r="E189" i="27"/>
  <c r="F189" i="27"/>
  <c r="G189" i="27"/>
  <c r="H189" i="27"/>
  <c r="I189" i="27"/>
  <c r="J189" i="27"/>
  <c r="K189" i="27"/>
  <c r="L189" i="27"/>
  <c r="M189" i="27"/>
  <c r="N189" i="27"/>
  <c r="O189" i="27"/>
  <c r="D192" i="27"/>
  <c r="E192" i="27"/>
  <c r="F192" i="27"/>
  <c r="G192" i="27"/>
  <c r="H192" i="27"/>
  <c r="I192" i="27"/>
  <c r="J192" i="27"/>
  <c r="K192" i="27"/>
  <c r="L192" i="27"/>
  <c r="M192" i="27"/>
  <c r="N192" i="27"/>
  <c r="O192" i="27"/>
  <c r="D195" i="27"/>
  <c r="E195" i="27"/>
  <c r="F195" i="27"/>
  <c r="G195" i="27"/>
  <c r="H195" i="27"/>
  <c r="I195" i="27"/>
  <c r="J195" i="27"/>
  <c r="K195" i="27"/>
  <c r="L195" i="27"/>
  <c r="M195" i="27"/>
  <c r="N195" i="27"/>
  <c r="O195" i="27"/>
  <c r="D198" i="27"/>
  <c r="E198" i="27"/>
  <c r="F198" i="27"/>
  <c r="G198" i="27"/>
  <c r="H198" i="27"/>
  <c r="I198" i="27"/>
  <c r="J198" i="27"/>
  <c r="K198" i="27"/>
  <c r="L198" i="27"/>
  <c r="M198" i="27"/>
  <c r="N198" i="27"/>
  <c r="O198" i="27"/>
  <c r="D201" i="27"/>
  <c r="E201" i="27"/>
  <c r="F201" i="27"/>
  <c r="G201" i="27"/>
  <c r="H201" i="27"/>
  <c r="I201" i="27"/>
  <c r="J201" i="27"/>
  <c r="K201" i="27"/>
  <c r="L201" i="27"/>
  <c r="M201" i="27"/>
  <c r="N201" i="27"/>
  <c r="O201" i="27"/>
  <c r="O27" i="27"/>
  <c r="N27" i="27"/>
  <c r="M27" i="27"/>
  <c r="L27" i="27"/>
  <c r="K27" i="27"/>
  <c r="J27" i="27"/>
  <c r="I27" i="27"/>
  <c r="H27" i="27"/>
  <c r="G27" i="27"/>
  <c r="F27" i="27"/>
  <c r="E27" i="27"/>
  <c r="D27" i="27"/>
  <c r="Q26" i="27"/>
  <c r="Q29" i="27"/>
  <c r="Q32" i="27"/>
  <c r="Q35" i="27"/>
  <c r="Q38" i="27"/>
  <c r="Q41" i="27"/>
  <c r="Q44" i="27"/>
  <c r="Q47" i="27"/>
  <c r="Q50" i="27"/>
  <c r="Q53" i="27"/>
  <c r="Q56" i="27"/>
  <c r="Q59" i="27"/>
  <c r="Q62" i="27"/>
  <c r="Q65" i="27"/>
  <c r="Q68" i="27"/>
  <c r="Q71" i="27"/>
  <c r="Q74" i="27"/>
  <c r="Q77" i="27"/>
  <c r="Q80" i="27"/>
  <c r="Q83" i="27"/>
  <c r="Q86" i="27"/>
  <c r="Q89" i="27"/>
  <c r="Q92" i="27"/>
  <c r="Q95" i="27"/>
  <c r="Q98" i="27"/>
  <c r="Q101" i="27"/>
  <c r="Q104" i="27"/>
  <c r="Q107" i="27"/>
  <c r="Q110" i="27"/>
  <c r="Q113" i="27"/>
  <c r="Q116" i="27"/>
  <c r="Q119" i="27"/>
  <c r="Q122" i="27"/>
  <c r="Q125" i="27"/>
  <c r="Q128" i="27"/>
  <c r="Q131" i="27"/>
  <c r="Q134" i="27"/>
  <c r="Q137" i="27"/>
  <c r="Q140" i="27"/>
  <c r="Q143" i="27"/>
  <c r="Q146" i="27"/>
  <c r="Q149" i="27"/>
  <c r="Q152" i="27"/>
  <c r="Q155" i="27"/>
  <c r="Q158" i="27"/>
  <c r="Q161" i="27"/>
  <c r="Q164" i="27"/>
  <c r="Q167" i="27"/>
  <c r="Q170" i="27"/>
  <c r="Q173" i="27"/>
  <c r="Q176" i="27"/>
  <c r="Q179" i="27"/>
  <c r="Q182" i="27"/>
  <c r="Q185" i="27"/>
  <c r="Q188" i="27"/>
  <c r="Q191" i="27"/>
  <c r="Q194" i="27"/>
  <c r="Q197" i="27"/>
  <c r="Q200" i="27"/>
  <c r="Q23" i="27"/>
  <c r="J13" i="23"/>
  <c r="O11" i="14"/>
  <c r="N13" i="13"/>
  <c r="J13" i="13"/>
  <c r="K12" i="15"/>
  <c r="J13" i="11"/>
  <c r="J41" i="11"/>
  <c r="G40" i="15"/>
  <c r="G39" i="15"/>
  <c r="K39" i="15"/>
  <c r="G25" i="15"/>
  <c r="K25" i="15"/>
  <c r="O25" i="15"/>
  <c r="L17" i="12"/>
  <c r="K13" i="14"/>
  <c r="S13" i="14"/>
  <c r="K14" i="14"/>
  <c r="S14" i="14"/>
  <c r="K24" i="14"/>
  <c r="S24" i="14"/>
  <c r="K25" i="14"/>
  <c r="S25" i="14"/>
  <c r="W28" i="14"/>
  <c r="L18" i="12"/>
  <c r="L23" i="12"/>
  <c r="L55" i="12"/>
  <c r="F39" i="12"/>
  <c r="F55" i="12"/>
  <c r="L39" i="12"/>
  <c r="F27" i="11"/>
  <c r="F18" i="11"/>
  <c r="F24" i="13"/>
  <c r="F17" i="11" s="1"/>
  <c r="F26" i="13"/>
  <c r="F20" i="11"/>
  <c r="G28" i="14"/>
  <c r="F22" i="12"/>
  <c r="F24" i="12" s="1"/>
  <c r="F23" i="12"/>
  <c r="I33" i="22"/>
  <c r="AC1" i="26"/>
  <c r="F29" i="12"/>
  <c r="N44" i="13"/>
  <c r="N45" i="13"/>
  <c r="V45" i="13"/>
  <c r="N47" i="13"/>
  <c r="F44" i="13"/>
  <c r="F45" i="13"/>
  <c r="F47" i="13"/>
  <c r="M16" i="22"/>
  <c r="U38" i="22"/>
  <c r="V24" i="13" s="1"/>
  <c r="N17" i="11" s="1"/>
  <c r="U40" i="22"/>
  <c r="M38" i="22"/>
  <c r="N24" i="13" s="1"/>
  <c r="J17" i="11" s="1"/>
  <c r="M40" i="22"/>
  <c r="N26" i="13"/>
  <c r="J20" i="11"/>
  <c r="L35" i="23"/>
  <c r="J35" i="23"/>
  <c r="G35" i="15"/>
  <c r="K35" i="15"/>
  <c r="Q29" i="22"/>
  <c r="R45" i="13" s="1"/>
  <c r="I29" i="22"/>
  <c r="J45" i="13" s="1"/>
  <c r="I31" i="22"/>
  <c r="J47" i="13" s="1"/>
  <c r="I28" i="22"/>
  <c r="J44" i="13" s="1"/>
  <c r="R22" i="13"/>
  <c r="R23" i="13"/>
  <c r="R24" i="13"/>
  <c r="R26" i="13"/>
  <c r="J22" i="13"/>
  <c r="J23" i="13"/>
  <c r="J24" i="13"/>
  <c r="J26" i="13"/>
  <c r="N13" i="11"/>
  <c r="N41" i="11"/>
  <c r="P1" i="23"/>
  <c r="N13" i="23"/>
  <c r="F35" i="23"/>
  <c r="H35" i="23"/>
  <c r="O12" i="15"/>
  <c r="G18" i="15"/>
  <c r="V13" i="13"/>
  <c r="Q12" i="22"/>
  <c r="S11" i="14"/>
  <c r="W11" i="14"/>
  <c r="U1" i="22"/>
  <c r="I12" i="22"/>
  <c r="K11" i="14"/>
  <c r="U16" i="22"/>
  <c r="I2" i="33" s="1"/>
  <c r="M39" i="22"/>
  <c r="U39" i="22"/>
  <c r="E59" i="22"/>
  <c r="S26" i="14"/>
  <c r="V26" i="13"/>
  <c r="N20" i="11"/>
  <c r="I17" i="33"/>
  <c r="S15" i="14"/>
  <c r="F25" i="13"/>
  <c r="I24" i="27"/>
  <c r="K24" i="27"/>
  <c r="O28" i="14"/>
  <c r="S28" i="14"/>
  <c r="N18" i="11"/>
  <c r="V25" i="13"/>
  <c r="K26" i="14"/>
  <c r="N25" i="13"/>
  <c r="J18" i="11"/>
  <c r="R13" i="13"/>
  <c r="O40" i="15"/>
  <c r="E24" i="27"/>
  <c r="K28" i="14"/>
  <c r="R25" i="13"/>
  <c r="R27" i="13"/>
  <c r="J25" i="13"/>
  <c r="J27" i="13"/>
  <c r="G24" i="27"/>
  <c r="H24" i="27"/>
  <c r="J24" i="27"/>
  <c r="M24" i="27"/>
  <c r="F24" i="27"/>
  <c r="D24" i="27"/>
  <c r="L24" i="27"/>
  <c r="N24" i="27"/>
  <c r="O24" i="27"/>
  <c r="I12" i="33" l="1"/>
  <c r="Q31" i="22"/>
  <c r="R47" i="13" s="1"/>
  <c r="V47" i="13"/>
  <c r="I9" i="33"/>
  <c r="Q28" i="22"/>
  <c r="R44" i="13" s="1"/>
  <c r="V44" i="13"/>
  <c r="U51" i="22"/>
  <c r="O35" i="15"/>
  <c r="N35" i="23"/>
  <c r="Q51" i="22"/>
  <c r="I22" i="33"/>
  <c r="N137" i="29"/>
  <c r="J27" i="11"/>
  <c r="N27" i="11"/>
  <c r="Q33" i="22"/>
  <c r="I13" i="33"/>
  <c r="I16" i="33"/>
  <c r="F54" i="12"/>
  <c r="F56" i="12" s="1"/>
  <c r="G41" i="15"/>
  <c r="H33" i="23" s="1"/>
  <c r="Q50" i="22"/>
  <c r="W13" i="14"/>
  <c r="E49" i="29"/>
  <c r="G38" i="29" s="1"/>
  <c r="U59" i="22"/>
  <c r="I21" i="33"/>
  <c r="K41" i="15"/>
  <c r="J33" i="23" s="1"/>
  <c r="U63" i="22"/>
  <c r="I28" i="33" s="1"/>
  <c r="K15" i="14"/>
  <c r="O13" i="14"/>
  <c r="F17" i="12"/>
  <c r="F19" i="12" s="1"/>
  <c r="L19" i="12" s="1"/>
  <c r="H21" i="33"/>
  <c r="F30" i="23"/>
  <c r="E60" i="22"/>
  <c r="H23" i="33"/>
  <c r="M55" i="22"/>
  <c r="Q55" i="22" s="1"/>
  <c r="Q57" i="22"/>
  <c r="N30" i="23"/>
  <c r="I18" i="33"/>
  <c r="P30" i="23"/>
  <c r="O18" i="15"/>
  <c r="I29" i="33"/>
  <c r="L54" i="12"/>
  <c r="L34" i="12"/>
  <c r="I63" i="22"/>
  <c r="I23" i="33"/>
  <c r="F49" i="12"/>
  <c r="U60" i="22"/>
  <c r="Q62" i="22"/>
  <c r="I27" i="33"/>
  <c r="L49" i="12"/>
  <c r="L22" i="12"/>
  <c r="I50" i="22"/>
  <c r="L33" i="12"/>
  <c r="F50" i="12"/>
  <c r="M44" i="22"/>
  <c r="M64" i="22"/>
  <c r="Q64" i="22" s="1"/>
  <c r="U49" i="22"/>
  <c r="H18" i="33"/>
  <c r="H24" i="33"/>
  <c r="I57" i="22"/>
  <c r="H30" i="23"/>
  <c r="M56" i="22"/>
  <c r="Q56" i="22" s="1"/>
  <c r="P35" i="23" l="1"/>
  <c r="F26" i="12"/>
  <c r="G39" i="29"/>
  <c r="G37" i="29"/>
  <c r="Q44" i="22"/>
  <c r="F33" i="23"/>
  <c r="L33" i="23"/>
  <c r="L56" i="12"/>
  <c r="G30" i="29"/>
  <c r="G35" i="29"/>
  <c r="G40" i="29"/>
  <c r="G46" i="29"/>
  <c r="G42" i="29"/>
  <c r="G47" i="29"/>
  <c r="G33" i="29"/>
  <c r="G29" i="29"/>
  <c r="G34" i="29"/>
  <c r="G36" i="29"/>
  <c r="G43" i="29"/>
  <c r="G45" i="29"/>
  <c r="G44" i="29"/>
  <c r="G32" i="29"/>
  <c r="G41" i="29"/>
  <c r="G31" i="29"/>
  <c r="G28" i="29"/>
  <c r="Q63" i="22"/>
  <c r="L50" i="12"/>
  <c r="I55" i="22"/>
  <c r="F33" i="12"/>
  <c r="F51" i="12"/>
  <c r="L24" i="12"/>
  <c r="M59" i="22"/>
  <c r="I56" i="22"/>
  <c r="F34" i="12"/>
  <c r="I44" i="22"/>
  <c r="L30" i="23"/>
  <c r="J30" i="23"/>
  <c r="K18" i="15"/>
  <c r="Q49" i="22"/>
  <c r="I20" i="33"/>
  <c r="O39" i="15"/>
  <c r="O41" i="15" s="1"/>
  <c r="M60" i="22"/>
  <c r="I64" i="22"/>
  <c r="L38" i="12"/>
  <c r="L26" i="12" l="1"/>
  <c r="P43" i="23"/>
  <c r="G49" i="29"/>
  <c r="N43" i="23"/>
  <c r="F35" i="12"/>
  <c r="F42" i="12" s="1"/>
  <c r="H47" i="23"/>
  <c r="E21" i="27"/>
  <c r="F47" i="23"/>
  <c r="L51" i="12"/>
  <c r="L58" i="12" s="1"/>
  <c r="F58" i="12"/>
  <c r="N33" i="23"/>
  <c r="P33" i="23"/>
  <c r="L40" i="12"/>
  <c r="H43" i="23"/>
  <c r="F43" i="23"/>
  <c r="L35" i="12" l="1"/>
  <c r="L42" i="12" s="1"/>
  <c r="N47" i="23"/>
  <c r="P47" i="23"/>
  <c r="L43" i="23"/>
  <c r="J43" i="23"/>
  <c r="J47" i="23" l="1"/>
  <c r="L47" i="23"/>
  <c r="U20" i="22" l="1"/>
  <c r="I5" i="33" s="1"/>
  <c r="M20" i="22"/>
  <c r="G25" i="14"/>
  <c r="H5" i="33"/>
  <c r="M36" i="22" l="1"/>
  <c r="N22" i="13" s="1"/>
  <c r="W25" i="14"/>
  <c r="O25" i="14"/>
  <c r="M30" i="22"/>
  <c r="F46" i="13"/>
  <c r="F48" i="13" s="1"/>
  <c r="H11" i="33"/>
  <c r="H14" i="33"/>
  <c r="F22" i="13"/>
  <c r="U36" i="22"/>
  <c r="J15" i="11" l="1"/>
  <c r="G24" i="14"/>
  <c r="H4" i="33"/>
  <c r="U19" i="22"/>
  <c r="I4" i="33" s="1"/>
  <c r="M19" i="22"/>
  <c r="F21" i="23"/>
  <c r="F17" i="13"/>
  <c r="F32" i="11" s="1"/>
  <c r="H21" i="23"/>
  <c r="F15" i="11"/>
  <c r="N46" i="13"/>
  <c r="N48" i="13" s="1"/>
  <c r="U30" i="22"/>
  <c r="I30" i="22"/>
  <c r="J46" i="13" s="1"/>
  <c r="J48" i="13" s="1"/>
  <c r="I14" i="33"/>
  <c r="V22" i="13"/>
  <c r="M21" i="27" l="1"/>
  <c r="U37" i="22"/>
  <c r="M37" i="22"/>
  <c r="N23" i="13" s="1"/>
  <c r="F23" i="13"/>
  <c r="H15" i="33"/>
  <c r="Q30" i="22"/>
  <c r="R46" i="13" s="1"/>
  <c r="R48" i="13" s="1"/>
  <c r="I11" i="33"/>
  <c r="V46" i="13"/>
  <c r="V48" i="13" s="1"/>
  <c r="K21" i="27"/>
  <c r="W24" i="14"/>
  <c r="W26" i="14" s="1"/>
  <c r="W30" i="14" s="1"/>
  <c r="O24" i="14"/>
  <c r="O26" i="14" s="1"/>
  <c r="O30" i="14" s="1"/>
  <c r="O17" i="14" s="1"/>
  <c r="G26" i="14"/>
  <c r="N17" i="13"/>
  <c r="J21" i="23"/>
  <c r="N15" i="11"/>
  <c r="L21" i="23" l="1"/>
  <c r="J32" i="11"/>
  <c r="J17" i="13"/>
  <c r="G30" i="14"/>
  <c r="G21" i="27"/>
  <c r="P21" i="23"/>
  <c r="V17" i="13"/>
  <c r="N21" i="23"/>
  <c r="F16" i="11"/>
  <c r="F27" i="13"/>
  <c r="W17" i="14"/>
  <c r="S30" i="14"/>
  <c r="S17" i="14" s="1"/>
  <c r="S18" i="14" s="1"/>
  <c r="J16" i="11"/>
  <c r="N27" i="13"/>
  <c r="I15" i="33"/>
  <c r="V23" i="13"/>
  <c r="F24" i="23" l="1"/>
  <c r="H24" i="23"/>
  <c r="I21" i="27"/>
  <c r="K30" i="14"/>
  <c r="K17" i="14" s="1"/>
  <c r="K18" i="14" s="1"/>
  <c r="H21" i="27"/>
  <c r="G17" i="14"/>
  <c r="N16" i="11"/>
  <c r="V27" i="13"/>
  <c r="N32" i="11"/>
  <c r="R17" i="13"/>
  <c r="J24" i="23"/>
  <c r="L24" i="23"/>
  <c r="N24" i="23" l="1"/>
  <c r="P24" i="23"/>
  <c r="H19" i="33" l="1"/>
  <c r="E47" i="22"/>
  <c r="M46" i="22"/>
  <c r="G24" i="15"/>
  <c r="G29" i="15" l="1"/>
  <c r="G31" i="15" s="1"/>
  <c r="F35" i="13" s="1"/>
  <c r="G26" i="15"/>
  <c r="I46" i="22"/>
  <c r="K24" i="15"/>
  <c r="M47" i="22"/>
  <c r="U46" i="22"/>
  <c r="G33" i="15" l="1"/>
  <c r="F19" i="11" s="1"/>
  <c r="O24" i="15"/>
  <c r="I19" i="33"/>
  <c r="Q46" i="22"/>
  <c r="U47" i="22"/>
  <c r="K29" i="15"/>
  <c r="K26" i="15"/>
  <c r="J21" i="27" l="1"/>
  <c r="K33" i="15"/>
  <c r="J19" i="11" s="1"/>
  <c r="O26" i="15"/>
  <c r="O29" i="15"/>
  <c r="H8" i="33"/>
  <c r="F16" i="13"/>
  <c r="M26" i="22"/>
  <c r="K31" i="15"/>
  <c r="N35" i="13" s="1"/>
  <c r="J35" i="13" s="1"/>
  <c r="O33" i="15" l="1"/>
  <c r="N19" i="11" s="1"/>
  <c r="N16" i="13"/>
  <c r="I26" i="22"/>
  <c r="U26" i="22"/>
  <c r="O31" i="15"/>
  <c r="V35" i="13" s="1"/>
  <c r="R35" i="13" s="1"/>
  <c r="F31" i="11"/>
  <c r="F18" i="13"/>
  <c r="F33" i="11" l="1"/>
  <c r="J31" i="11"/>
  <c r="J33" i="11" s="1"/>
  <c r="J16" i="13"/>
  <c r="J18" i="13" s="1"/>
  <c r="N18" i="13"/>
  <c r="Q26" i="22"/>
  <c r="V16" i="13"/>
  <c r="I8" i="33"/>
  <c r="N31" i="11" l="1"/>
  <c r="N33" i="11" s="1"/>
  <c r="R16" i="13"/>
  <c r="R18" i="13" s="1"/>
  <c r="V18" i="13"/>
  <c r="H3" i="33" l="1"/>
  <c r="M17" i="22"/>
  <c r="G14" i="14"/>
  <c r="U17" i="22"/>
  <c r="I3" i="33" s="1"/>
  <c r="W14" i="14" l="1"/>
  <c r="W15" i="14" s="1"/>
  <c r="W18" i="14" s="1"/>
  <c r="G15" i="14"/>
  <c r="G18" i="14" s="1"/>
  <c r="O14" i="14"/>
  <c r="O15" i="14" s="1"/>
  <c r="O18" i="14" s="1"/>
  <c r="L38" i="23" l="1"/>
  <c r="J38" i="23"/>
  <c r="J42" i="12"/>
  <c r="F38" i="23"/>
  <c r="F21" i="27"/>
  <c r="H38" i="23"/>
  <c r="J26" i="12"/>
  <c r="J58" i="12"/>
  <c r="P38" i="23"/>
  <c r="N38" i="23"/>
  <c r="J54" i="12" l="1"/>
  <c r="J50" i="12"/>
  <c r="P50" i="12" s="1"/>
  <c r="J49" i="12"/>
  <c r="J55" i="12"/>
  <c r="P55" i="12" s="1"/>
  <c r="J23" i="12"/>
  <c r="P23" i="12" s="1"/>
  <c r="J17" i="12"/>
  <c r="J22" i="12"/>
  <c r="J18" i="12"/>
  <c r="P18" i="12" s="1"/>
  <c r="J38" i="12"/>
  <c r="J34" i="12"/>
  <c r="P34" i="12" s="1"/>
  <c r="J33" i="12"/>
  <c r="J39" i="12"/>
  <c r="P39" i="12" s="1"/>
  <c r="P22" i="12" l="1"/>
  <c r="J24" i="12"/>
  <c r="P17" i="12"/>
  <c r="P19" i="12" s="1"/>
  <c r="J19" i="12"/>
  <c r="P33" i="12"/>
  <c r="P35" i="12" s="1"/>
  <c r="J35" i="12"/>
  <c r="P38" i="12"/>
  <c r="J40" i="12"/>
  <c r="P49" i="12"/>
  <c r="P51" i="12" s="1"/>
  <c r="J51" i="12"/>
  <c r="P54" i="12"/>
  <c r="J56" i="12"/>
  <c r="J40" i="23" l="1"/>
  <c r="N40" i="23"/>
  <c r="F40" i="23"/>
  <c r="H40" i="23" s="1"/>
  <c r="O16" i="15"/>
  <c r="O20" i="15" s="1"/>
  <c r="P56" i="12"/>
  <c r="F30" i="13"/>
  <c r="L40" i="23"/>
  <c r="P40" i="23"/>
  <c r="K16" i="15"/>
  <c r="K20" i="15" s="1"/>
  <c r="P40" i="12"/>
  <c r="N30" i="13"/>
  <c r="V30" i="13"/>
  <c r="P24" i="12"/>
  <c r="G16" i="15"/>
  <c r="G20" i="15" s="1"/>
  <c r="P50" i="23" l="1"/>
  <c r="N23" i="11" s="1"/>
  <c r="L50" i="23"/>
  <c r="J23" i="11" s="1"/>
  <c r="H50" i="23"/>
  <c r="F50" i="23" s="1"/>
  <c r="F23" i="11" s="1"/>
  <c r="P58" i="12"/>
  <c r="P42" i="12"/>
  <c r="L25" i="23"/>
  <c r="N32" i="13"/>
  <c r="N34" i="13" s="1"/>
  <c r="N37" i="13" s="1"/>
  <c r="J25" i="23"/>
  <c r="J26" i="23" s="1"/>
  <c r="J30" i="13"/>
  <c r="J32" i="13" s="1"/>
  <c r="J34" i="13" s="1"/>
  <c r="J37" i="13" s="1"/>
  <c r="P26" i="12"/>
  <c r="D21" i="27" s="1"/>
  <c r="H25" i="23"/>
  <c r="H26" i="23" s="1"/>
  <c r="F25" i="23"/>
  <c r="F32" i="13"/>
  <c r="F34" i="13" s="1"/>
  <c r="F37" i="13" s="1"/>
  <c r="N50" i="23"/>
  <c r="R30" i="13"/>
  <c r="R32" i="13" s="1"/>
  <c r="R34" i="13" s="1"/>
  <c r="R37" i="13" s="1"/>
  <c r="N25" i="23"/>
  <c r="N26" i="23" s="1"/>
  <c r="V32" i="13"/>
  <c r="V34" i="13" s="1"/>
  <c r="V37" i="13" s="1"/>
  <c r="P25" i="23"/>
  <c r="L36" i="23" l="1"/>
  <c r="L42" i="23" s="1"/>
  <c r="L44" i="23" s="1"/>
  <c r="P36" i="23"/>
  <c r="P42" i="23" s="1"/>
  <c r="P44" i="23" s="1"/>
  <c r="J50" i="23"/>
  <c r="F22" i="11"/>
  <c r="F26" i="23"/>
  <c r="J22" i="11"/>
  <c r="J25" i="11" s="1"/>
  <c r="L26" i="23"/>
  <c r="N22" i="11"/>
  <c r="N25" i="11" s="1"/>
  <c r="P26" i="23"/>
  <c r="L46" i="23"/>
  <c r="L48" i="23" s="1"/>
  <c r="L51" i="23" s="1"/>
  <c r="P46" i="23" l="1"/>
  <c r="P48" i="23" s="1"/>
  <c r="P51" i="23" s="1"/>
  <c r="F25" i="11"/>
  <c r="J42" i="11"/>
  <c r="J28" i="11"/>
  <c r="J45" i="11" s="1"/>
  <c r="J35" i="11"/>
  <c r="I51" i="29"/>
  <c r="H2" i="34"/>
  <c r="N42" i="11"/>
  <c r="N28" i="11"/>
  <c r="N35" i="11"/>
  <c r="F35" i="11" l="1"/>
  <c r="F28" i="11"/>
  <c r="F42" i="11"/>
  <c r="Q42" i="11" s="1"/>
  <c r="L21" i="27"/>
  <c r="G2" i="34"/>
  <c r="AO51" i="30"/>
  <c r="N45" i="11"/>
  <c r="H3" i="34"/>
  <c r="L42" i="11"/>
  <c r="G3" i="34" l="1"/>
  <c r="F45" i="11"/>
  <c r="N21" i="27"/>
  <c r="L45" i="11"/>
  <c r="Q45" i="11"/>
  <c r="H7" i="33" l="1"/>
  <c r="M25" i="22"/>
  <c r="F20" i="23"/>
  <c r="F46" i="11"/>
  <c r="F22" i="23" l="1"/>
  <c r="F28" i="23" s="1"/>
  <c r="F31" i="23" s="1"/>
  <c r="Q46" i="11"/>
  <c r="G4" i="34"/>
  <c r="U25" i="22"/>
  <c r="J20" i="23"/>
  <c r="J22" i="23" s="1"/>
  <c r="J28" i="23" s="1"/>
  <c r="J31" i="23" s="1"/>
  <c r="I25" i="22"/>
  <c r="J46" i="11"/>
  <c r="L46" i="11" s="1"/>
  <c r="J34" i="23" l="1"/>
  <c r="J36" i="23" s="1"/>
  <c r="F36" i="23"/>
  <c r="F46" i="23" s="1"/>
  <c r="F48" i="23" s="1"/>
  <c r="F34" i="23"/>
  <c r="F42" i="23"/>
  <c r="F44" i="23" s="1"/>
  <c r="F51" i="23"/>
  <c r="F52" i="23" s="1"/>
  <c r="F43" i="11" s="1"/>
  <c r="N20" i="23"/>
  <c r="N22" i="23" s="1"/>
  <c r="N28" i="23" s="1"/>
  <c r="N31" i="23" s="1"/>
  <c r="Q25" i="22"/>
  <c r="I7" i="33"/>
  <c r="N46" i="11"/>
  <c r="H4" i="34" s="1"/>
  <c r="J46" i="23" l="1"/>
  <c r="J48" i="23" s="1"/>
  <c r="J51" i="23"/>
  <c r="J52" i="23" s="1"/>
  <c r="L19" i="23" s="1"/>
  <c r="L20" i="23" s="1"/>
  <c r="L22" i="23" s="1"/>
  <c r="L28" i="23" s="1"/>
  <c r="L31" i="23" s="1"/>
  <c r="L34" i="23" s="1"/>
  <c r="J42" i="23"/>
  <c r="J44" i="23" s="1"/>
  <c r="N34" i="23"/>
  <c r="N36" i="23" s="1"/>
  <c r="H19" i="23"/>
  <c r="H20" i="23" s="1"/>
  <c r="O21" i="27"/>
  <c r="Q43" i="11"/>
  <c r="J43" i="11"/>
  <c r="L43" i="11" s="1"/>
  <c r="N46" i="23" l="1"/>
  <c r="N48" i="23" s="1"/>
  <c r="N42" i="23"/>
  <c r="N44" i="23" s="1"/>
  <c r="N51" i="23"/>
  <c r="N52" i="23" s="1"/>
  <c r="H22" i="23"/>
  <c r="H28" i="23" s="1"/>
  <c r="H31" i="23" s="1"/>
  <c r="H34" i="23" s="1"/>
  <c r="H36" i="23" s="1"/>
  <c r="H46" i="23" s="1"/>
  <c r="H48" i="23" s="1"/>
  <c r="H51" i="23" s="1"/>
  <c r="N43" i="11"/>
  <c r="P19" i="23"/>
  <c r="P20" i="23" s="1"/>
  <c r="P22" i="23" s="1"/>
  <c r="P28" i="23" s="1"/>
  <c r="P31" i="23" s="1"/>
  <c r="P34" i="23" s="1"/>
  <c r="H42" i="23" l="1"/>
  <c r="H44" i="23" s="1"/>
  <c r="Y49" i="30" l="1"/>
  <c r="H31" i="30" l="1"/>
  <c r="H34" i="30" l="1"/>
  <c r="L34" i="30" l="1"/>
  <c r="O32" i="30" l="1"/>
  <c r="O29" i="30"/>
  <c r="O35" i="30"/>
  <c r="O33" i="30"/>
  <c r="O31" i="30" l="1"/>
  <c r="O34" i="30"/>
  <c r="O30" i="30"/>
  <c r="W29" i="30" l="1"/>
  <c r="Q29" i="30"/>
  <c r="S29" i="30" s="1"/>
  <c r="D24" i="32"/>
  <c r="O28" i="30"/>
  <c r="I83" i="29"/>
  <c r="H32" i="30"/>
  <c r="L31" i="30"/>
  <c r="W35" i="30" l="1"/>
  <c r="Q35" i="30"/>
  <c r="S35" i="30" s="1"/>
  <c r="W34" i="30"/>
  <c r="Q34" i="30"/>
  <c r="S34" i="30" s="1"/>
  <c r="AE34" i="30" s="1"/>
  <c r="AM34" i="30" s="1"/>
  <c r="L32" i="30"/>
  <c r="AA34" i="30" l="1"/>
  <c r="AK34" i="30" s="1"/>
  <c r="AO34" i="30" s="1"/>
  <c r="W33" i="30"/>
  <c r="Q33" i="30"/>
  <c r="S33" i="30" s="1"/>
  <c r="W30" i="30"/>
  <c r="Q30" i="30"/>
  <c r="S30" i="30" s="1"/>
  <c r="Q28" i="30"/>
  <c r="S28" i="30" s="1"/>
  <c r="W28" i="30"/>
  <c r="J28" i="30"/>
  <c r="D22" i="32" s="1"/>
  <c r="E35" i="32" s="1"/>
  <c r="F35" i="32" s="1"/>
  <c r="W32" i="30"/>
  <c r="Q32" i="30"/>
  <c r="Q31" i="30"/>
  <c r="S31" i="30" s="1"/>
  <c r="AE31" i="30" s="1"/>
  <c r="AM31" i="30" s="1"/>
  <c r="W31" i="30"/>
  <c r="H28" i="30"/>
  <c r="AE28" i="30" l="1"/>
  <c r="AM28" i="30" s="1"/>
  <c r="D21" i="32"/>
  <c r="E34" i="32" s="1"/>
  <c r="F34" i="32" s="1"/>
  <c r="AA28" i="30"/>
  <c r="AK28" i="30" s="1"/>
  <c r="S32" i="30"/>
  <c r="AE32" i="30" s="1"/>
  <c r="AM32" i="30" s="1"/>
  <c r="AA32" i="30"/>
  <c r="AK32" i="30" s="1"/>
  <c r="AA31" i="30"/>
  <c r="AK31" i="30" s="1"/>
  <c r="AO31" i="30" s="1"/>
  <c r="H33" i="30"/>
  <c r="AA33" i="30" s="1"/>
  <c r="AK33" i="30" s="1"/>
  <c r="AO32" i="30" l="1"/>
  <c r="AO28" i="30"/>
  <c r="F36" i="32"/>
  <c r="G35" i="32" s="1"/>
  <c r="D44" i="32" s="1"/>
  <c r="E44" i="32" s="1"/>
  <c r="F44" i="32" s="1"/>
  <c r="G34" i="32" l="1"/>
  <c r="L33" i="30"/>
  <c r="AE33" i="30" s="1"/>
  <c r="AM33" i="30" s="1"/>
  <c r="AO33" i="30" s="1"/>
  <c r="D48" i="32" l="1"/>
  <c r="D43" i="32"/>
  <c r="E43" i="32" l="1"/>
  <c r="F43" i="32" s="1"/>
  <c r="F45" i="32" s="1"/>
  <c r="D45" i="32"/>
  <c r="D49" i="32"/>
  <c r="E49" i="32" s="1"/>
  <c r="F49" i="32" s="1"/>
  <c r="G49" i="32" s="1"/>
  <c r="E48" i="32"/>
  <c r="H35" i="30"/>
  <c r="AA35" i="30" s="1"/>
  <c r="AK35" i="30" s="1"/>
  <c r="F48" i="32" l="1"/>
  <c r="E50" i="32"/>
  <c r="J35" i="30"/>
  <c r="AE35" i="30" s="1"/>
  <c r="AM35" i="30" s="1"/>
  <c r="AO35" i="30" s="1"/>
  <c r="D53" i="32" l="1"/>
  <c r="G48" i="32"/>
  <c r="G50" i="32" s="1"/>
  <c r="D54" i="32"/>
  <c r="D55" i="32" s="1"/>
  <c r="H30" i="30" l="1"/>
  <c r="AA30" i="30" s="1"/>
  <c r="AK30" i="30" s="1"/>
  <c r="H29" i="30"/>
  <c r="AA29" i="30" s="1"/>
  <c r="AK29" i="30" s="1"/>
  <c r="L30" i="30" l="1"/>
  <c r="AE30" i="30" s="1"/>
  <c r="AM30" i="30" s="1"/>
  <c r="AO30" i="30" s="1"/>
  <c r="J50" i="28"/>
  <c r="J29" i="30" l="1"/>
  <c r="AE29" i="30" s="1"/>
  <c r="AM29" i="30" s="1"/>
  <c r="H50" i="28"/>
  <c r="AO29" i="30" l="1"/>
  <c r="AO49" i="30" s="1"/>
  <c r="AQ49" i="30"/>
  <c r="AQ50" i="30" l="1"/>
  <c r="AO53" i="30"/>
  <c r="AO54" i="30" s="1"/>
  <c r="AE51" i="30" s="1"/>
  <c r="E83" i="29"/>
  <c r="I49" i="29" l="1"/>
  <c r="K37" i="29" l="1"/>
  <c r="K44" i="29"/>
  <c r="K29" i="29"/>
  <c r="K40" i="29"/>
  <c r="K38" i="29"/>
  <c r="K34" i="29"/>
  <c r="K47" i="29"/>
  <c r="K33" i="29"/>
  <c r="K28" i="29"/>
  <c r="K31" i="29"/>
  <c r="K46" i="29"/>
  <c r="K32" i="29"/>
  <c r="K42" i="29"/>
  <c r="K43" i="29"/>
  <c r="K36" i="29"/>
  <c r="K39" i="29"/>
  <c r="C51" i="29"/>
  <c r="K45" i="29"/>
  <c r="K30" i="29"/>
  <c r="K35" i="29"/>
  <c r="K41" i="29"/>
  <c r="I103" i="29"/>
  <c r="E135" i="29" s="1"/>
  <c r="I135" i="29" s="1"/>
  <c r="K49" i="29" l="1"/>
  <c r="I100" i="29"/>
  <c r="E132" i="29" s="1"/>
  <c r="I132" i="29" s="1"/>
  <c r="I104" i="29"/>
  <c r="E136" i="29" s="1"/>
  <c r="I136" i="29" s="1"/>
  <c r="I105" i="29"/>
  <c r="E137" i="29" s="1"/>
  <c r="I137" i="29" s="1"/>
  <c r="I102" i="29"/>
  <c r="E134" i="29" s="1"/>
  <c r="I134" i="29" s="1"/>
  <c r="I99" i="29"/>
  <c r="E131" i="29" s="1"/>
  <c r="I131" i="29" s="1"/>
  <c r="I101" i="29"/>
  <c r="E133" i="29" s="1"/>
  <c r="I133" i="29" s="1"/>
  <c r="K83" i="29" l="1"/>
  <c r="I98" i="29"/>
  <c r="E130" i="29" s="1"/>
  <c r="G100" i="29" l="1"/>
  <c r="G99" i="29"/>
  <c r="G102" i="29"/>
  <c r="G103" i="29"/>
  <c r="G101" i="29"/>
  <c r="G104" i="29"/>
  <c r="G105" i="29"/>
  <c r="G83" i="29" l="1"/>
  <c r="G98"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F22" authorId="0" shapeId="0" xr:uid="{00000000-0006-0000-0B00-000001000000}">
      <text>
        <r>
          <rPr>
            <b/>
            <sz val="9"/>
            <color indexed="81"/>
            <rFont val="Tahoma"/>
            <family val="2"/>
          </rPr>
          <t>OEB Staff:</t>
        </r>
        <r>
          <rPr>
            <sz val="9"/>
            <color indexed="81"/>
            <rFont val="Tahoma"/>
            <family val="2"/>
          </rPr>
          <t xml:space="preserve">
This drop-down box needs to be filled out to indicate the stage in the proceeding (Initial Applications, Decision/DRO, or the moiddle column of Sheet 3 - Data Input, and drives data used on sheets 10 to 13</t>
        </r>
      </text>
    </comment>
    <comment ref="D29" authorId="0" shapeId="0" xr:uid="{00000000-0006-0000-0B00-000002000000}">
      <text>
        <r>
          <rPr>
            <b/>
            <sz val="9"/>
            <color indexed="81"/>
            <rFont val="Tahoma"/>
            <family val="2"/>
          </rPr>
          <t>OEB Staff:</t>
        </r>
        <r>
          <rPr>
            <sz val="9"/>
            <color indexed="81"/>
            <rFont val="Tahoma"/>
            <family val="2"/>
          </rPr>
          <t xml:space="preserve">
The Residential customer class must be the first customer class shown in the table. This is required for sheets 11, 12 and 13.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K98" authorId="0" shapeId="0" xr:uid="{00000000-0006-0000-0C00-000001000000}">
      <text>
        <r>
          <rPr>
            <b/>
            <sz val="9"/>
            <color indexed="81"/>
            <rFont val="Tahoma"/>
            <family val="2"/>
          </rPr>
          <t>OEB Staff:</t>
        </r>
        <r>
          <rPr>
            <sz val="9"/>
            <color indexed="81"/>
            <rFont val="Tahoma"/>
            <family val="2"/>
          </rPr>
          <t xml:space="preserve">
Choose R/C policy range appropriate for the rate class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D24" authorId="0" shapeId="0" xr:uid="{00000000-0006-0000-0D00-000001000000}">
      <text>
        <r>
          <rPr>
            <b/>
            <sz val="9"/>
            <color indexed="81"/>
            <rFont val="Tahoma"/>
            <family val="2"/>
          </rPr>
          <t>OEB Staff:</t>
        </r>
        <r>
          <rPr>
            <sz val="9"/>
            <color indexed="81"/>
            <rFont val="Tahoma"/>
            <family val="2"/>
          </rPr>
          <t xml:space="preserve">
This will pull the test year revenue requirement for the "Residential" customer class from sheet 11, by default, but can be overwritten if it is a different amount.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AC28" authorId="0" shapeId="0" xr:uid="{00000000-0006-0000-0E00-000001000000}">
      <text>
        <r>
          <rPr>
            <b/>
            <sz val="9"/>
            <color indexed="81"/>
            <rFont val="Tahoma"/>
            <family val="2"/>
          </rPr>
          <t>OEB Staff:</t>
        </r>
        <r>
          <rPr>
            <sz val="9"/>
            <color indexed="81"/>
            <rFont val="Tahoma"/>
            <family val="2"/>
          </rPr>
          <t xml:space="preserve">
Insert the number of decimal places to be used for the Monthly Service Charge. "2" is the default and corresponds with the standard rate to the closest penny. The calculated rate is rounded and displayed to the indicated number of decimal places.</t>
        </r>
      </text>
    </comment>
    <comment ref="AI28" authorId="0" shapeId="0" xr:uid="{00000000-0006-0000-0E00-000002000000}">
      <text>
        <r>
          <rPr>
            <b/>
            <sz val="9"/>
            <color indexed="81"/>
            <rFont val="Tahoma"/>
            <family val="2"/>
          </rPr>
          <t>OEB Staff:</t>
        </r>
        <r>
          <rPr>
            <sz val="9"/>
            <color indexed="81"/>
            <rFont val="Tahoma"/>
            <family val="2"/>
          </rPr>
          <t xml:space="preserve">
Insert the number of decimal places to be used for the Volumetric Rate. "4" is the default and corresponds with the standard presentation to the closest 1/100 of a penny. The calculated rate is rounded and displayed to the indicated number of decimal places.</t>
        </r>
      </text>
    </comment>
  </commentList>
</comments>
</file>

<file path=xl/sharedStrings.xml><?xml version="1.0" encoding="utf-8"?>
<sst xmlns="http://schemas.openxmlformats.org/spreadsheetml/2006/main" count="776" uniqueCount="494">
  <si>
    <t>Working Capital Allowance</t>
  </si>
  <si>
    <t>Total Rate Base</t>
  </si>
  <si>
    <t>(1)</t>
  </si>
  <si>
    <t>(2)</t>
  </si>
  <si>
    <t>Application</t>
  </si>
  <si>
    <t>Cost of Power</t>
  </si>
  <si>
    <t>Taxes/PILs</t>
  </si>
  <si>
    <t>Rate Base</t>
  </si>
  <si>
    <t>($)</t>
  </si>
  <si>
    <t>Controllable Expenses</t>
  </si>
  <si>
    <t>Working Capital Base</t>
  </si>
  <si>
    <t>Debt</t>
  </si>
  <si>
    <t xml:space="preserve">  Long-term Debt</t>
  </si>
  <si>
    <t xml:space="preserve">  Short-term Debt</t>
  </si>
  <si>
    <t>Total Debt</t>
  </si>
  <si>
    <t>Equity</t>
  </si>
  <si>
    <t xml:space="preserve">  Common Equity</t>
  </si>
  <si>
    <t xml:space="preserve">  Preferred Shares</t>
  </si>
  <si>
    <t>Total Equity</t>
  </si>
  <si>
    <t>Total</t>
  </si>
  <si>
    <t>(%)</t>
  </si>
  <si>
    <t>Cost Rate</t>
  </si>
  <si>
    <t>Return</t>
  </si>
  <si>
    <t xml:space="preserve">Application   </t>
  </si>
  <si>
    <t>Operating Revenues:</t>
  </si>
  <si>
    <t>Operating Expenses:</t>
  </si>
  <si>
    <t>Depreciation/Amortization</t>
  </si>
  <si>
    <t>Income taxes</t>
  </si>
  <si>
    <t>Determination of Taxable Income</t>
  </si>
  <si>
    <t>Adjustments required to arrive at taxable utility income</t>
  </si>
  <si>
    <t>Taxable income</t>
  </si>
  <si>
    <t>Calculation of Utility income Taxes</t>
  </si>
  <si>
    <t>Total taxes</t>
  </si>
  <si>
    <t>Tax Rates</t>
  </si>
  <si>
    <t>Amortization/Depreciation</t>
  </si>
  <si>
    <t>Other revenue</t>
  </si>
  <si>
    <t>Particulars</t>
  </si>
  <si>
    <t>Line No.</t>
  </si>
  <si>
    <t>Notes</t>
  </si>
  <si>
    <t>OM+A Expenses</t>
  </si>
  <si>
    <t>Total revenue</t>
  </si>
  <si>
    <r>
      <t>Particulars</t>
    </r>
    <r>
      <rPr>
        <sz val="10"/>
        <rFont val="Arial"/>
        <family val="2"/>
      </rPr>
      <t xml:space="preserve">                                </t>
    </r>
  </si>
  <si>
    <t>Notes:</t>
  </si>
  <si>
    <t>Capital taxes</t>
  </si>
  <si>
    <t>Property taxes</t>
  </si>
  <si>
    <t>Property Taxes</t>
  </si>
  <si>
    <t>Capitalization Ratio</t>
  </si>
  <si>
    <t>Utility Income</t>
  </si>
  <si>
    <t>Utility Rate Base</t>
  </si>
  <si>
    <t>Indicated Rate of Return</t>
  </si>
  <si>
    <t>Capitalization/Cost of Capital</t>
  </si>
  <si>
    <t>Pale green cells represent inputs</t>
  </si>
  <si>
    <t>Distribution revenue</t>
  </si>
  <si>
    <t xml:space="preserve">  Specific Service Charges</t>
  </si>
  <si>
    <t xml:space="preserve">  Late Payment Charges</t>
  </si>
  <si>
    <t xml:space="preserve">  Other Distribution Revenue</t>
  </si>
  <si>
    <t xml:space="preserve">  Other Income and Deductions</t>
  </si>
  <si>
    <t>Total Revenue Offsets</t>
  </si>
  <si>
    <t>Allowance for Working Capital</t>
  </si>
  <si>
    <t xml:space="preserve">Particulars </t>
  </si>
  <si>
    <t xml:space="preserve">   </t>
  </si>
  <si>
    <t xml:space="preserve">   Controllable Expenses</t>
  </si>
  <si>
    <t xml:space="preserve">   Cost of Power</t>
  </si>
  <si>
    <t xml:space="preserve">   Working Capital Rate (%)</t>
  </si>
  <si>
    <t>Other Revenue</t>
  </si>
  <si>
    <t xml:space="preserve">   OM+A Expenses</t>
  </si>
  <si>
    <t xml:space="preserve">   Property taxes</t>
  </si>
  <si>
    <t xml:space="preserve">   Capital taxes</t>
  </si>
  <si>
    <t xml:space="preserve">      Specific Service Charges</t>
  </si>
  <si>
    <t xml:space="preserve">      Late Payment Charges</t>
  </si>
  <si>
    <t xml:space="preserve">      Other Distribution Revenue</t>
  </si>
  <si>
    <t xml:space="preserve">      Other Income and Deductions</t>
  </si>
  <si>
    <t>Taxable Income:</t>
  </si>
  <si>
    <t>Utility Income Taxes and Rates:</t>
  </si>
  <si>
    <t xml:space="preserve">   Long-term debt Capitalization Ratio (%)</t>
  </si>
  <si>
    <t xml:space="preserve">   Short-term debt Capitalization Ratio (%)</t>
  </si>
  <si>
    <t xml:space="preserve">   Common Equity Capitalization Ratio (%)</t>
  </si>
  <si>
    <t xml:space="preserve">   Prefered Shares Capitalization Ratio (%)</t>
  </si>
  <si>
    <t xml:space="preserve">   Long-term debt Cost Rate (%)</t>
  </si>
  <si>
    <t xml:space="preserve">   Short-term debt Cost Rate (%)</t>
  </si>
  <si>
    <t xml:space="preserve">   Common Equity Cost Rate (%)</t>
  </si>
  <si>
    <t xml:space="preserve">   Prefered Shares Cost Rate (%)</t>
  </si>
  <si>
    <t xml:space="preserve">Working Capital Rate % </t>
  </si>
  <si>
    <t xml:space="preserve">   Federal tax (%)</t>
  </si>
  <si>
    <t xml:space="preserve">   Provincial tax (%)</t>
  </si>
  <si>
    <t>Allowance for Working Capital:</t>
  </si>
  <si>
    <t xml:space="preserve">   Other Revenue:</t>
  </si>
  <si>
    <t xml:space="preserve">   Capital Taxes</t>
  </si>
  <si>
    <t>Capital Structure:</t>
  </si>
  <si>
    <t>Cost of Capital</t>
  </si>
  <si>
    <t>All inputs are in dollars ($) except where inputs are individually identified as percentages (%)</t>
  </si>
  <si>
    <t>Income Taxes (Grossed up)</t>
  </si>
  <si>
    <t>4.0% unless an Applicant has proposed or been approved for another amount.</t>
  </si>
  <si>
    <t xml:space="preserve">   Other expenses</t>
  </si>
  <si>
    <t>Other expense</t>
  </si>
  <si>
    <t>Deemed Interest Expense</t>
  </si>
  <si>
    <t>Gross-up of Income Taxes</t>
  </si>
  <si>
    <t>Utility income before income taxes</t>
  </si>
  <si>
    <t>(3)</t>
  </si>
  <si>
    <t>Net of addbacks and deductions to arrive at taxable income.</t>
  </si>
  <si>
    <t xml:space="preserve">   Gross Fixed Assets (average)</t>
  </si>
  <si>
    <t xml:space="preserve">   Accumulated Depreciation (average)</t>
  </si>
  <si>
    <t>Gross Fixed Assets (average)</t>
  </si>
  <si>
    <t>Accumulated Depreciation (average)</t>
  </si>
  <si>
    <t>Net Fixed Assets (average)</t>
  </si>
  <si>
    <t>Utility net income</t>
  </si>
  <si>
    <t>Grossed-up Income Taxes</t>
  </si>
  <si>
    <t>PILs / tax Allowance (Grossed-up Income taxes + Capital taxes)</t>
  </si>
  <si>
    <t>Income taxes (grossed-up)</t>
  </si>
  <si>
    <t xml:space="preserve">   Distribution Revenue at Proposed Rates</t>
  </si>
  <si>
    <t>Total Revenue</t>
  </si>
  <si>
    <t>Utility Income Before Income Taxes</t>
  </si>
  <si>
    <t xml:space="preserve">Utility Net Income </t>
  </si>
  <si>
    <t xml:space="preserve">   Distribution Revenue at Current Rates</t>
  </si>
  <si>
    <t>Total Operating Revenues</t>
  </si>
  <si>
    <t>Taxable Income</t>
  </si>
  <si>
    <t>Income Tax Credits</t>
  </si>
  <si>
    <t>Operating Expenses</t>
  </si>
  <si>
    <t>Total Cost and Expenses</t>
  </si>
  <si>
    <t>Target Return - Equity on Rate Base</t>
  </si>
  <si>
    <t>Requested Rate of Return on Rate Base</t>
  </si>
  <si>
    <t xml:space="preserve"> </t>
  </si>
  <si>
    <t>(4)</t>
  </si>
  <si>
    <t>(5)</t>
  </si>
  <si>
    <t>Average of Gross Fixed Assets at beginning and end of the Test Year</t>
  </si>
  <si>
    <t xml:space="preserve">   Income taxes (not grossed up)</t>
  </si>
  <si>
    <t xml:space="preserve">   Income taxes (grossed up)</t>
  </si>
  <si>
    <t>At Current Approved Rates</t>
  </si>
  <si>
    <t>At Proposed Rates</t>
  </si>
  <si>
    <t>Distribution Revenue (at Proposed Rates)</t>
  </si>
  <si>
    <t>Target Return on Equity</t>
  </si>
  <si>
    <t>Other tax Credits</t>
  </si>
  <si>
    <t xml:space="preserve">Deemed Equity Portion of Rate Base </t>
  </si>
  <si>
    <t>Average of opening and closing balances for the year.</t>
  </si>
  <si>
    <t>Other Expenses</t>
  </si>
  <si>
    <t>Average of Accumulated Depreciation at the beginning and end of the Test Year.  Enter as a negative amount.</t>
  </si>
  <si>
    <t>Federal tax (%)</t>
  </si>
  <si>
    <t>Provincial tax (%)</t>
  </si>
  <si>
    <t>Total tax rate (%)</t>
  </si>
  <si>
    <t>Capital Taxes</t>
  </si>
  <si>
    <t>OM&amp;A Expenses</t>
  </si>
  <si>
    <t>Please note that this model uses MACROS.  Before starting, please ensure that macros have been enabled.</t>
  </si>
  <si>
    <t>Line 11 - Line 8</t>
  </si>
  <si>
    <t xml:space="preserve">   Depreciation/Amortization</t>
  </si>
  <si>
    <t>Difference (Total Revenue Less Distribution Revenue Requirement before Revenues)</t>
  </si>
  <si>
    <t>Utility net income before taxes</t>
  </si>
  <si>
    <t>Adjustments required to arrive at taxable income</t>
  </si>
  <si>
    <t>(6)</t>
  </si>
  <si>
    <t>Capital Taxes not applicable after July 1, 2010 (i.e. for 2011 and later test years)</t>
  </si>
  <si>
    <t>Revenue Deficiency from Below</t>
  </si>
  <si>
    <t>Distribution Revenue</t>
  </si>
  <si>
    <t>Other Operating Revenue Offsets - net</t>
  </si>
  <si>
    <t>Income Tax Rate</t>
  </si>
  <si>
    <t>Income Tax on Taxable Income</t>
  </si>
  <si>
    <t>Per Board Decision</t>
  </si>
  <si>
    <t>Initial Application</t>
  </si>
  <si>
    <t xml:space="preserve">Initial Application   </t>
  </si>
  <si>
    <t>Subtotal (lines 4 to 8)</t>
  </si>
  <si>
    <t>Total Expenses (lines 9 to 10)</t>
  </si>
  <si>
    <t>Completed versions of the Revenue Requirement Work Form are required to be filed in working Microsoft Excel format.</t>
  </si>
  <si>
    <r>
      <t>Gross Revenue Deficiency/</t>
    </r>
    <r>
      <rPr>
        <b/>
        <sz val="10"/>
        <color indexed="10"/>
        <rFont val="Arial"/>
        <family val="2"/>
      </rPr>
      <t>(Sufficiency)</t>
    </r>
  </si>
  <si>
    <r>
      <t>Revenue Deficiency/</t>
    </r>
    <r>
      <rPr>
        <sz val="10"/>
        <color indexed="10"/>
        <rFont val="Arial"/>
        <family val="2"/>
      </rPr>
      <t>(Sufficiency)</t>
    </r>
  </si>
  <si>
    <t>Algoma Power Inc.</t>
  </si>
  <si>
    <t>Atikokan Hydro Inc.</t>
  </si>
  <si>
    <t>Brantford Power Inc.</t>
  </si>
  <si>
    <t>Burlington Hydro Inc.</t>
  </si>
  <si>
    <t>Centre Wellington Hydro Ltd.</t>
  </si>
  <si>
    <t>Chapleau Public Utilities Corporation</t>
  </si>
  <si>
    <t>Cooperative Hydro Embrun Inc.</t>
  </si>
  <si>
    <t>E.L.K. Energy Inc.</t>
  </si>
  <si>
    <t>ENWIN Utilities Ltd.</t>
  </si>
  <si>
    <t>Essex Powerlines Corporation</t>
  </si>
  <si>
    <t>Festival Hydro Inc.</t>
  </si>
  <si>
    <t>Fort Frances Power Corporation</t>
  </si>
  <si>
    <t>Halton Hills Hydro Inc.</t>
  </si>
  <si>
    <t>Hydro 2000 Inc.</t>
  </si>
  <si>
    <t>Hydro Hawkesbury Inc.</t>
  </si>
  <si>
    <t>Kingston Hydro Corporation</t>
  </si>
  <si>
    <t>Kitchener-Wilmot Hydro Inc.</t>
  </si>
  <si>
    <t>Lakefront Utilities Inc.</t>
  </si>
  <si>
    <t>London Hydro Inc.</t>
  </si>
  <si>
    <t>Niagara-on-the-Lake Hydro Inc.</t>
  </si>
  <si>
    <t>Northern Ontario Wires Inc.</t>
  </si>
  <si>
    <t>Orangeville Hydro Limited</t>
  </si>
  <si>
    <t>Oshawa PUC Networks Inc.</t>
  </si>
  <si>
    <t>Ottawa River Power Corporation</t>
  </si>
  <si>
    <t>PUC Distribution Inc.</t>
  </si>
  <si>
    <t>Renfrew Hydro Inc.</t>
  </si>
  <si>
    <t>Rideau St. Lawrence Distribution Inc.</t>
  </si>
  <si>
    <t>Sioux Lookout Hydro Inc.</t>
  </si>
  <si>
    <t>Tillsonburg Hydro Inc.</t>
  </si>
  <si>
    <t>Wasaga Distribution Inc.</t>
  </si>
  <si>
    <t>Waterloo North Hydro Inc.</t>
  </si>
  <si>
    <t>Wellington North Power Inc.</t>
  </si>
  <si>
    <t>Westario Power Inc.</t>
  </si>
  <si>
    <t>Greater Sudbury Hydro Inc.</t>
  </si>
  <si>
    <t>Hydro Ottawa Limited</t>
  </si>
  <si>
    <t>Lakeland Power Distribution Ltd.</t>
  </si>
  <si>
    <t>Toronto Hydro-Electric System Limited</t>
  </si>
  <si>
    <t>Company Name</t>
  </si>
  <si>
    <t>1. Info</t>
  </si>
  <si>
    <t>3. Data_Input_Sheet</t>
  </si>
  <si>
    <t>4. Rate_Base</t>
  </si>
  <si>
    <t>5. Utility Income</t>
  </si>
  <si>
    <t>6. Taxes_PILs</t>
  </si>
  <si>
    <t>7. Cost_of_Capital</t>
  </si>
  <si>
    <t>9. Rev_Reqt</t>
  </si>
  <si>
    <t>Deficiency/Sufficiency in Return on Equity</t>
  </si>
  <si>
    <t>Deficiency/Sufficiency in Rate of Return</t>
  </si>
  <si>
    <t>Pale yellow cells represent drop-down lists</t>
  </si>
  <si>
    <t>Pale green boxes at the bottom of each page are for additional notes</t>
  </si>
  <si>
    <t>Revenue Deficiency/Sufficiency divided by (1 - Tax Rate)</t>
  </si>
  <si>
    <t>Income/(Equity Portion of Rate Base)</t>
  </si>
  <si>
    <t>8. Rev_Def_Suff</t>
  </si>
  <si>
    <t>2. Table of Contents</t>
  </si>
  <si>
    <t>(7)</t>
  </si>
  <si>
    <t>Input total revenue offsets for deriving the base revenue requirement from the service revenue requirement</t>
  </si>
  <si>
    <t>Service Revenue Requirement (before Revenues)</t>
  </si>
  <si>
    <t>Revenue Offsets</t>
  </si>
  <si>
    <t>Base Revenue Requirement</t>
  </si>
  <si>
    <t>General</t>
  </si>
  <si>
    <t>(8)</t>
  </si>
  <si>
    <t>(9)</t>
  </si>
  <si>
    <t>Data inputs are required on Sheets 3. Data from Sheet 3 will automatically complete calculations on sheets 4 through 9 (Rate Base through Revenue Requirement).  Sheets 4 through 9 do not require any inputs except for notes that the Applicant may wish to enter to support the results.  Pale green cells are available on sheets 4 through 9 to enter both footnotes beside key cells and the related text for the notes at the bottom of each sheet.</t>
  </si>
  <si>
    <t>(excluding Tranformer Owership Allowance credit adjustment)</t>
  </si>
  <si>
    <t>Revenue Requirement</t>
  </si>
  <si>
    <t>Revenue Deficiency/Sufficiency</t>
  </si>
  <si>
    <t>Rate Base and Working Capital</t>
  </si>
  <si>
    <t>Version</t>
  </si>
  <si>
    <t xml:space="preserve">Utility Name   </t>
  </si>
  <si>
    <t>Service Territory</t>
  </si>
  <si>
    <t>Assigned EB Number</t>
  </si>
  <si>
    <t>Name and Title</t>
  </si>
  <si>
    <t xml:space="preserve">Phone Number   </t>
  </si>
  <si>
    <t xml:space="preserve">Email Address   </t>
  </si>
  <si>
    <t>Niagara Peninsula Energy Inc.</t>
  </si>
  <si>
    <t>Allowance for Working Capital - Derivation</t>
  </si>
  <si>
    <r>
      <t xml:space="preserve">Data Input </t>
    </r>
    <r>
      <rPr>
        <b/>
        <vertAlign val="superscript"/>
        <sz val="14"/>
        <rFont val="Arial"/>
        <family val="2"/>
      </rPr>
      <t>(1)</t>
    </r>
  </si>
  <si>
    <t>Return on Deemed Equity</t>
  </si>
  <si>
    <t>Tax Adjustments to Accounting               Income per 2013 PILs model</t>
  </si>
  <si>
    <t>Tracking Form</t>
  </si>
  <si>
    <t>Regulated Return on Capital</t>
  </si>
  <si>
    <t>Regulated Rate of Return</t>
  </si>
  <si>
    <t>Working Capital</t>
  </si>
  <si>
    <t>Amortization / Depreciation</t>
  </si>
  <si>
    <t>OM&amp;A</t>
  </si>
  <si>
    <t>Other Revenues</t>
  </si>
  <si>
    <t>Service Revenue Requirement</t>
  </si>
  <si>
    <t>Grossed up Revenue Deficiency / Sufficiency</t>
  </si>
  <si>
    <t>Original Application</t>
  </si>
  <si>
    <r>
      <t>Reference</t>
    </r>
    <r>
      <rPr>
        <b/>
        <vertAlign val="superscript"/>
        <sz val="10"/>
        <rFont val="Arial"/>
        <family val="2"/>
      </rPr>
      <t xml:space="preserve"> (1)</t>
    </r>
  </si>
  <si>
    <t>Rate Base and Capital Expenditures</t>
  </si>
  <si>
    <r>
      <t>Item / Description</t>
    </r>
    <r>
      <rPr>
        <b/>
        <vertAlign val="superscript"/>
        <sz val="10"/>
        <rFont val="Arial"/>
        <family val="2"/>
      </rPr>
      <t xml:space="preserve"> (2)</t>
    </r>
  </si>
  <si>
    <t>Summary of Proposed Changes</t>
  </si>
  <si>
    <t>Working Capital Allowance ($)</t>
  </si>
  <si>
    <t xml:space="preserve">          Change</t>
  </si>
  <si>
    <t>Page Break 1</t>
  </si>
  <si>
    <t>Page Break 2</t>
  </si>
  <si>
    <t>Page Break 4</t>
  </si>
  <si>
    <t>Page Break 3</t>
  </si>
  <si>
    <t>Bluewater Power Distribution Corporation</t>
  </si>
  <si>
    <t>Oakville Hydro Electricity Distribution Inc.</t>
  </si>
  <si>
    <t>Orillia Power Distribution Corporation</t>
  </si>
  <si>
    <t>Peterborough Distribution Incorporated</t>
  </si>
  <si>
    <t>Canadian Niagara Power Inc.</t>
  </si>
  <si>
    <t>Summary Table of Revenue Requirement and Revenue Deficiency/Sufficiency</t>
  </si>
  <si>
    <t>Grossed-Up Revenue Deficiency/(Sufficiency)</t>
  </si>
  <si>
    <t>Base Revenue Requirement (to be recovered from Distribution Rates)</t>
  </si>
  <si>
    <t>Percentage Change Relative to Initial Application</t>
  </si>
  <si>
    <t>Load Forecast Summary</t>
  </si>
  <si>
    <t>Customer Class</t>
  </si>
  <si>
    <t>Customer / Connections</t>
  </si>
  <si>
    <t>Test Year average or mid-year</t>
  </si>
  <si>
    <t>kWh</t>
  </si>
  <si>
    <t>Annual</t>
  </si>
  <si>
    <t>Rate Design and Revenue Reconciliation</t>
  </si>
  <si>
    <t>Stage in Process:</t>
  </si>
  <si>
    <t>F</t>
  </si>
  <si>
    <t>L</t>
  </si>
  <si>
    <t>R</t>
  </si>
  <si>
    <t>H</t>
  </si>
  <si>
    <t>N</t>
  </si>
  <si>
    <t>T</t>
  </si>
  <si>
    <t>Volumetric Charge Determinant</t>
  </si>
  <si>
    <t>Class Allocated Revenues</t>
  </si>
  <si>
    <t>Monthly Service Charge</t>
  </si>
  <si>
    <t>Volumetric</t>
  </si>
  <si>
    <t>J</t>
  </si>
  <si>
    <t>P</t>
  </si>
  <si>
    <t>V</t>
  </si>
  <si>
    <t>Customers / Connections</t>
  </si>
  <si>
    <t>Distribution Rates</t>
  </si>
  <si>
    <t>No. of decimals</t>
  </si>
  <si>
    <t>Rate</t>
  </si>
  <si>
    <t>Volumetric Rate</t>
  </si>
  <si>
    <t>Revenue Reconciliation</t>
  </si>
  <si>
    <t>MSC Revenues</t>
  </si>
  <si>
    <t>Volumetric revenues</t>
  </si>
  <si>
    <t>Distribution Revenues less Transformer Ownership Allowance</t>
  </si>
  <si>
    <t>Difference</t>
  </si>
  <si>
    <t>% Difference</t>
  </si>
  <si>
    <t>From sheet 10. Load Forecast</t>
  </si>
  <si>
    <t>Input the name of each customer class.</t>
  </si>
  <si>
    <t>10. Load Forecast</t>
  </si>
  <si>
    <t>11. Cost Allocation</t>
  </si>
  <si>
    <r>
      <rPr>
        <b/>
        <sz val="10"/>
        <rFont val="Calibri"/>
        <family val="2"/>
      </rPr>
      <t>Δ</t>
    </r>
    <r>
      <rPr>
        <b/>
        <sz val="10"/>
        <rFont val="Arial"/>
        <family val="2"/>
      </rPr>
      <t xml:space="preserve">% </t>
    </r>
    <r>
      <rPr>
        <b/>
        <vertAlign val="superscript"/>
        <sz val="10"/>
        <rFont val="Arial"/>
        <family val="2"/>
      </rPr>
      <t>(2)</t>
    </r>
  </si>
  <si>
    <t>Total Distribution Revenues</t>
  </si>
  <si>
    <t>Customer and Load Forecast</t>
  </si>
  <si>
    <t>Name of Customer Class</t>
  </si>
  <si>
    <t>From Sheet 10. Load Forecast</t>
  </si>
  <si>
    <t>Residential</t>
  </si>
  <si>
    <r>
      <t xml:space="preserve">Allocated Class Revenue Requirement </t>
    </r>
    <r>
      <rPr>
        <b/>
        <vertAlign val="superscript"/>
        <sz val="10"/>
        <rFont val="Arial"/>
        <family val="2"/>
      </rPr>
      <t>(1)</t>
    </r>
  </si>
  <si>
    <r>
      <t xml:space="preserve">kW/kVA </t>
    </r>
    <r>
      <rPr>
        <b/>
        <vertAlign val="superscript"/>
        <sz val="10"/>
        <rFont val="Arial"/>
        <family val="2"/>
      </rPr>
      <t>(1)</t>
    </r>
  </si>
  <si>
    <t>kW or kVA</t>
  </si>
  <si>
    <r>
      <t xml:space="preserve">This spreadsheet replaces </t>
    </r>
    <r>
      <rPr>
        <b/>
        <sz val="10"/>
        <rFont val="Arial"/>
        <family val="2"/>
      </rPr>
      <t>Appendix 2-P</t>
    </r>
    <r>
      <rPr>
        <sz val="10"/>
        <rFont val="Arial"/>
        <family val="2"/>
      </rPr>
      <t xml:space="preserve"> and provides a summary of the results from the Cost Allocation spreadsheet, and is used in the determination of the class revenue requirement and, hence, ultimately, the determination of rates from customers in all classes to recover the revenue requirement.</t>
    </r>
  </si>
  <si>
    <t>%</t>
  </si>
  <si>
    <t>A)</t>
  </si>
  <si>
    <t>Allocated Costs</t>
  </si>
  <si>
    <t>Stage in Application Process:</t>
  </si>
  <si>
    <t>Class Allocated Revenue Requirement, from Sheet O-1, Revenue to Cost || RR, row 40, from the Cost Allocation Study in this application. This excludes costs in deferral and variance accounts. For Embedded Distributors, Account 4750 - Low Voltage (LV) Costs are also excluded.</t>
  </si>
  <si>
    <t>Cost Allocation and Rate Design</t>
  </si>
  <si>
    <t>B)</t>
  </si>
  <si>
    <t>Calculated Class Revenues</t>
  </si>
  <si>
    <t>Host Distributors - Provide information on any embedded distributor(s) as a separate class, if applicable. If embedded distributors are billed in a General Service class, include the allocated costs and revenues of the embedded distributor(s) in the applicable class, and also complete Appendix 2-Q.</t>
  </si>
  <si>
    <r>
      <t xml:space="preserve">Costs Allocated from Previous Study </t>
    </r>
    <r>
      <rPr>
        <b/>
        <vertAlign val="superscript"/>
        <sz val="10"/>
        <rFont val="Arial"/>
        <family val="2"/>
      </rPr>
      <t>(1)</t>
    </r>
  </si>
  <si>
    <r>
      <t xml:space="preserve">Name of Customer Class </t>
    </r>
    <r>
      <rPr>
        <b/>
        <vertAlign val="superscript"/>
        <sz val="10"/>
        <rFont val="Arial"/>
        <family val="2"/>
      </rPr>
      <t>(3)</t>
    </r>
  </si>
  <si>
    <t>Customer Classes - If these differ from those in place in the previous cost allocation study, modify the customer classes to match the proposal in the current application as closely as possible.</t>
  </si>
  <si>
    <t>(7A)</t>
  </si>
  <si>
    <t>Load Forecast (LF) X current approved rates</t>
  </si>
  <si>
    <t>(7B)</t>
  </si>
  <si>
    <t>(7C)</t>
  </si>
  <si>
    <t>LF X Proposed Rates</t>
  </si>
  <si>
    <t>(7D)</t>
  </si>
  <si>
    <t>Miscellaneous Revenues</t>
  </si>
  <si>
    <t>(7E)</t>
  </si>
  <si>
    <t>In columns 7B to 7D, LF means Load Forecast of Annual Billing Quantities (i.e., customers or connections, as applicable X 12 months, and kWh, kW or kVA as applicable. Revenue quantities should be net of the Transformer Ownership Allowance for applicable customer classes. Exclude revenues from rate adders and rate riders.</t>
  </si>
  <si>
    <t>Columns 7C and 7D - Column Total should equal the Base Revenue Requirement for each.</t>
  </si>
  <si>
    <t>LF X current approved rates X (1+d)</t>
  </si>
  <si>
    <t>Column 7C - The OEB-issued cost allocation model calculates "1+d" on worksheet O-1, cell C22. "d" is defined as Revenue Deficiency/Revenue at Current Rates.</t>
  </si>
  <si>
    <t>Column 7E - If using the OEB-issued cost allocation model, enter Miscellaneous Revenues as it appears on worksheet O-1, row 19,</t>
  </si>
  <si>
    <t>C)</t>
  </si>
  <si>
    <t>Rebalancing Revenue-to-Cost Ratios</t>
  </si>
  <si>
    <t>Previously Approved Ratios</t>
  </si>
  <si>
    <t>Most Recent Year:</t>
  </si>
  <si>
    <t>Status Quo Ratios</t>
  </si>
  <si>
    <t>(7C + 7E) / (7A)</t>
  </si>
  <si>
    <t>Proposed Ratios</t>
  </si>
  <si>
    <t>(7D + 7E) / (7A)</t>
  </si>
  <si>
    <t>Policy Range</t>
  </si>
  <si>
    <t>85 - 115</t>
  </si>
  <si>
    <t>Previously Approved Revenue-to-Cost (R/C) Ratios - For most applicants, the most recent year would be the third year (at the latest) of the Price Cap IR period. For example, if the applicant, rebased in 2012 with further adjustments to move within the range over two years, the Most Recent Year would be 2015. However, the ratios in 2015 would be equal to those after the adjustment in 2014.</t>
  </si>
  <si>
    <t>(10)</t>
  </si>
  <si>
    <t>80 - 120</t>
  </si>
  <si>
    <t>(D)</t>
  </si>
  <si>
    <t>Proposed Revenue-to-Cost Ratio</t>
  </si>
  <si>
    <t>Test Year</t>
  </si>
  <si>
    <t>Price Cap IR Period</t>
  </si>
  <si>
    <r>
      <t>Proposed Revenue-to-Cost Ratios</t>
    </r>
    <r>
      <rPr>
        <b/>
        <i/>
        <vertAlign val="superscript"/>
        <sz val="10"/>
        <rFont val="Arial"/>
        <family val="2"/>
      </rPr>
      <t xml:space="preserve"> (11)</t>
    </r>
  </si>
  <si>
    <t>(11)</t>
  </si>
  <si>
    <t>From Sheet 11. Cost Allocation and Sheet 12. Residential Rate Design</t>
  </si>
  <si>
    <t>New Rate Design Policy For Residential Customers</t>
  </si>
  <si>
    <t>Please complete the following tables.</t>
  </si>
  <si>
    <t>Test Year Billing Determinants for Residential Class</t>
  </si>
  <si>
    <t>Customers</t>
  </si>
  <si>
    <r>
      <t>Proposed Residential Class Specific Revenue Requirement</t>
    </r>
    <r>
      <rPr>
        <vertAlign val="superscript"/>
        <sz val="10"/>
        <rFont val="Arial"/>
        <family val="2"/>
      </rPr>
      <t>1</t>
    </r>
  </si>
  <si>
    <t>Residential Base Rates on Current Tariff</t>
  </si>
  <si>
    <t>Monthly Fixed Charge ($)</t>
  </si>
  <si>
    <t>Distribution Volumetric Rate ($/kWh)</t>
  </si>
  <si>
    <t>Base Rates</t>
  </si>
  <si>
    <t>Billing Determinants</t>
  </si>
  <si>
    <t>Revenue</t>
  </si>
  <si>
    <t>% of Total Revenue</t>
  </si>
  <si>
    <t>Fixed</t>
  </si>
  <si>
    <t>Variable</t>
  </si>
  <si>
    <t>TOTAL</t>
  </si>
  <si>
    <t>-</t>
  </si>
  <si>
    <t>Test Year Revenue @ Current F/V Split</t>
  </si>
  <si>
    <t>Test Year Base Rates @ Current F/V Split</t>
  </si>
  <si>
    <t>Reconciliation - Test Year Base Rates @ Current F/V Split</t>
  </si>
  <si>
    <t>New F/V Split</t>
  </si>
  <si>
    <t>Revenue @ new
 F/V Split</t>
  </si>
  <si>
    <t>Final Adjusted 
Base Rates</t>
  </si>
  <si>
    <t>Revenue Reconciliation @ Adjusted Rates</t>
  </si>
  <si>
    <r>
      <t>Checks</t>
    </r>
    <r>
      <rPr>
        <b/>
        <vertAlign val="superscript"/>
        <sz val="10"/>
        <rFont val="Arial"/>
        <family val="2"/>
      </rPr>
      <t>3</t>
    </r>
  </si>
  <si>
    <t>Change in Fixed Rate</t>
  </si>
  <si>
    <t>Difference Between Revenues @ Proposed Rates and Class Specific Revenue Requirement</t>
  </si>
  <si>
    <t>A</t>
  </si>
  <si>
    <t>Data Inputs (from Sheet 10. Load Forecast)</t>
  </si>
  <si>
    <t>B</t>
  </si>
  <si>
    <t>C</t>
  </si>
  <si>
    <t>Current Fixed/Variable Split</t>
  </si>
  <si>
    <t>Calculating Test Year Base Rates</t>
  </si>
  <si>
    <t>Change in fixed rate due to rate design policy should be less than $4. The difference between the proposed class revenue requirement and the revenue at calculated base rates should be minimal (i.e. should be reasonably considered as a rounding error)</t>
  </si>
  <si>
    <t>Total Class Revenue Requirement</t>
  </si>
  <si>
    <t>12. Residential Rate Design</t>
  </si>
  <si>
    <t>13. Rate Design and Revenue Reconciliation</t>
  </si>
  <si>
    <t>14. Tracking Sheet</t>
  </si>
  <si>
    <t>The final residential class specific revenue requirement, excluding allocated Miscellaneous Revenues, as shown on Sheet 11. Cost Allocation, should be used (i.e. the revenue requirement after any proposed adjustments to R/C ratios).</t>
  </si>
  <si>
    <t>Percentage to be entered as a fraction between 0 and 1</t>
  </si>
  <si>
    <t>Total Transformer Ownership Allowance</t>
  </si>
  <si>
    <t>Distribution Revenues including TOA Credit Recovery in Rates</t>
  </si>
  <si>
    <t>Input kW or kVA for those customer classes for which billing is based on demand (kW or kVA) versus energy consumption (kWh)</t>
  </si>
  <si>
    <t>Status Quo Ratios - The OEB-issued cost allocation model provides the Status Quo Ratios on Worksheet O-1. The Status Quo means "Before Rebalancing".</t>
  </si>
  <si>
    <r>
      <t>Number of Remaining Rate Design Policy Transition Years</t>
    </r>
    <r>
      <rPr>
        <vertAlign val="superscript"/>
        <sz val="10"/>
        <rFont val="Arial"/>
        <family val="2"/>
      </rPr>
      <t>2</t>
    </r>
  </si>
  <si>
    <r>
      <t xml:space="preserve">Transformer Ownership Allowance </t>
    </r>
    <r>
      <rPr>
        <b/>
        <vertAlign val="superscript"/>
        <sz val="10"/>
        <rFont val="Arial"/>
        <family val="2"/>
      </rPr>
      <t>1</t>
    </r>
    <r>
      <rPr>
        <b/>
        <sz val="10"/>
        <rFont val="Arial"/>
        <family val="2"/>
      </rPr>
      <t xml:space="preserve"> ($)</t>
    </r>
  </si>
  <si>
    <t>Transformer Ownership Allowance is entered as a positive amount, and only for those classes to which it applies.</t>
  </si>
  <si>
    <r>
      <t xml:space="preserve">Fixed / Variable Splits </t>
    </r>
    <r>
      <rPr>
        <b/>
        <vertAlign val="superscript"/>
        <sz val="10"/>
        <rFont val="Arial"/>
        <family val="2"/>
      </rPr>
      <t>2</t>
    </r>
  </si>
  <si>
    <t>The Fixed/Variable split, for each customer class, drives the "rate generator" portion of this sheet of the RRWF. Only the "fixed" fraction is entered, as the sum of the "fixed" and "variable" portions must sum to 100%. For a distributor that may set the Monthly Service Charge, the "fixed" ratio is calcutated as: [MSC x (average number of customers or connections) x 12 months] / (Class Allocated Revenue Requirement).</t>
  </si>
  <si>
    <r>
      <rPr>
        <b/>
        <sz val="10"/>
        <rFont val="Arial"/>
        <family val="2"/>
      </rPr>
      <t>Appendix 2-IB</t>
    </r>
    <r>
      <rPr>
        <sz val="10"/>
        <rFont val="Arial"/>
        <family val="2"/>
      </rPr>
      <t xml:space="preserve"> is still required to be filled out, as it also provides a year-over-year variance analysis of demand growth andf trends from historical actuals to the Bridge and Test Year forecasts.</t>
    </r>
  </si>
  <si>
    <r>
      <t xml:space="preserve">The information to be input is inclusive of any adjustments to kWh and kW to reflect the impacts of CDM programs up to and including CDM programs planned to be executed in the test year. i.e., the load forecast adjustments determined in </t>
    </r>
    <r>
      <rPr>
        <b/>
        <sz val="10"/>
        <rFont val="Arial"/>
        <family val="2"/>
      </rPr>
      <t>Appendix 2-I</t>
    </r>
    <r>
      <rPr>
        <sz val="10"/>
        <rFont val="Arial"/>
        <family val="2"/>
      </rPr>
      <t xml:space="preserve"> should be incorporated into the entries. The inputs should correspond with the summary of the Load Forecast for the Test Year in </t>
    </r>
    <r>
      <rPr>
        <b/>
        <sz val="10"/>
        <rFont val="Arial"/>
        <family val="2"/>
      </rPr>
      <t>Appendix 2-IB</t>
    </r>
    <r>
      <rPr>
        <sz val="10"/>
        <rFont val="Arial"/>
        <family val="2"/>
      </rPr>
      <t xml:space="preserve"> and in Exhibit 3 of the application.</t>
    </r>
  </si>
  <si>
    <r>
      <t xml:space="preserve">Ratios shown in </t>
    </r>
    <r>
      <rPr>
        <sz val="10"/>
        <color rgb="FFFF0000"/>
        <rFont val="Arial"/>
        <family val="2"/>
      </rPr>
      <t>red</t>
    </r>
    <r>
      <rPr>
        <sz val="10"/>
        <rFont val="Arial"/>
        <family val="2"/>
      </rPr>
      <t xml:space="preserve"> are outside of the allowed range. Applies to both Tables C and D.</t>
    </r>
  </si>
  <si>
    <t>Revenue Deficiency/(Sufficiency) Associated with Base Revenue Requirement</t>
  </si>
  <si>
    <t>Data in column E is for Application as originally filed.  For updated revenue requirement as a result of interrogatory responses, technical or settlement conferences, etc., use column M and Adjustments in column I</t>
  </si>
  <si>
    <r>
      <t xml:space="preserve">The default Working Capital Allowance factor is </t>
    </r>
    <r>
      <rPr>
        <b/>
        <sz val="10"/>
        <color rgb="FFFF0000"/>
        <rFont val="Arial"/>
        <family val="2"/>
      </rPr>
      <t>7.5%</t>
    </r>
    <r>
      <rPr>
        <sz val="10"/>
        <rFont val="Arial"/>
        <family val="2"/>
      </rPr>
      <t xml:space="preserve"> (of Cost of Power plus controllable expenses), per the letter issued by the Board on June 3, 2015.  Alternatively, a WCA factor based on lead-lag study, with supporting rationale could be provided.</t>
    </r>
  </si>
  <si>
    <t>This spreadsheet provides a summary of the customer and load forecast on which the test year revenue requirement is derived. The amounts serve as the denominators for deriving the rates to recover the test year revenue requirement for purposes of this RRWF.</t>
  </si>
  <si>
    <r>
      <t xml:space="preserve">The first row shown, labelled "Original Application", summarizes key statistics based on the data inputs into the RRWF. After the original application filing, the applicant provides key changes in capital and operating expenses, load forecasts, cost of capital, etc., as revised through the processing of the application. This could be due to revisions or responses to interrogatories. The last row shown is the most current estimate of the cost of service data reflecting the original application and any updates provided by the applicant distributor (for updated evidence, responses to interrogatories, undertakings, etc.)
Please ensure a Reference (Column B) and/or Item Description (Column C) is entered.  Please note that unused rows will automatically be hidden and the PRINT AREA set when the PRINT BUTTON on Sheet 1 is activated.
</t>
    </r>
    <r>
      <rPr>
        <b/>
        <vertAlign val="superscript"/>
        <sz val="10"/>
        <rFont val="Arial"/>
        <family val="2"/>
      </rPr>
      <t xml:space="preserve">(1) </t>
    </r>
    <r>
      <rPr>
        <b/>
        <sz val="10"/>
        <rFont val="Arial"/>
        <family val="2"/>
      </rPr>
      <t xml:space="preserve">Short reference to evidence material (interrogatory response, undertaking, exhibit number, Board Decision, Code, Guideline, Report of the Board, etc.)
</t>
    </r>
    <r>
      <rPr>
        <b/>
        <vertAlign val="superscript"/>
        <sz val="10"/>
        <rFont val="Arial"/>
        <family val="2"/>
      </rPr>
      <t>(2)</t>
    </r>
    <r>
      <rPr>
        <b/>
        <sz val="10"/>
        <rFont val="Arial"/>
        <family val="2"/>
      </rPr>
      <t xml:space="preserve"> Short description of change, issue, etc.
</t>
    </r>
    <r>
      <rPr>
        <b/>
        <sz val="10"/>
        <color rgb="FFFF0000"/>
        <rFont val="Arial"/>
        <family val="2"/>
      </rPr>
      <t>60 Tracking Rows have been provided below.  If you require more, please contact Industry Relations @</t>
    </r>
    <r>
      <rPr>
        <b/>
        <sz val="10"/>
        <rFont val="Arial"/>
        <family val="2"/>
      </rPr>
      <t xml:space="preserve"> </t>
    </r>
    <r>
      <rPr>
        <b/>
        <sz val="10"/>
        <color rgb="FF0070C0"/>
        <rFont val="Arial"/>
        <family val="2"/>
      </rPr>
      <t xml:space="preserve">IndustryRelations@ontarioenergyboard.ca. </t>
    </r>
  </si>
  <si>
    <t xml:space="preserve">This sheet replaces Appendix 2-V, and provides a simplified model for calculating the standard monthly and voluemtric rates based on the allocated class revenues and fixed/variable split resulting from the cost allocation study and rate design and as proposed by the applicant. However, the RRWF does not replace the rate generator model that an applicant distributor may use in support of its application. The RRWF provides a demonstrative check on the derivation of the revenue requirement and on the proposed base distribution rates to recover the revenue requirement, based on summary information from a more detailed rate generator model and other models that applicants use for cost allocation, load forecasting, taxes/PILs, etc. </t>
  </si>
  <si>
    <t>The RRWF has been enhanced commencing with 2017 rate applications to provide estimated base distribution rates.  The enhanced RRWF is not intended to replace a utility’s formal rate generator model which should continue to be the source of the proposed rates as well as the final ones at the conclusion of the proceeding. The load forecasting addition made to this model is intended to be demonstrative only and does not replace the information filed in the utility’s application. In an effort to minimize the incremental work required from utilities, the cost allocation and rate design additions to this model do in fact replace former appendices that were required to be filed as part of the cost of service (Chapter 2) filing requirements.</t>
  </si>
  <si>
    <t>Service Revenue Requirement (from Sheet 9)</t>
  </si>
  <si>
    <t>Bridge Year</t>
  </si>
  <si>
    <t>Last Rebasing Year</t>
  </si>
  <si>
    <t>Utility Name</t>
  </si>
  <si>
    <t>EB Number</t>
  </si>
  <si>
    <t>Data Elements</t>
  </si>
  <si>
    <t>Heading</t>
  </si>
  <si>
    <t>Intital Application</t>
  </si>
  <si>
    <t>Working Capital Rate (%)</t>
  </si>
  <si>
    <t>Distribution Revenue at Current Rates</t>
  </si>
  <si>
    <t>Distribution Revenue at Proposed Rates</t>
  </si>
  <si>
    <t>Specific Service Charges</t>
  </si>
  <si>
    <t>Late Payment Charges</t>
  </si>
  <si>
    <t>Other Distribution Revenue</t>
  </si>
  <si>
    <t>Other Income and Deductions</t>
  </si>
  <si>
    <t>Capitalization</t>
  </si>
  <si>
    <t>Income taxes (grossed up)</t>
  </si>
  <si>
    <t>Income taxes (not grossed up)</t>
  </si>
  <si>
    <t>Other expenses</t>
  </si>
  <si>
    <t>Long-term debt Capitalization Ratio (%)</t>
  </si>
  <si>
    <t>Short-term debt Capitalization Ratio (%)</t>
  </si>
  <si>
    <t>Common Equity Capitalization Ratio (%)</t>
  </si>
  <si>
    <t>Prefered Shares Capitalization Ratio (%)</t>
  </si>
  <si>
    <t>Long-term debt Cost Rate (%)</t>
  </si>
  <si>
    <t>Short-term debt Cost Rate (%)</t>
  </si>
  <si>
    <t>Common Equity Cost Rate (%)</t>
  </si>
  <si>
    <t>Prefered Shares Cost Rate (%)</t>
  </si>
  <si>
    <t>Utility Income Taxes</t>
  </si>
  <si>
    <t>EPCOR Electricity Distribution Ontario Inc.</t>
  </si>
  <si>
    <t>ERTH Power Corporation - ERTH Power Main Rate Zone</t>
  </si>
  <si>
    <t>Select option from drop-down list by clicking on cell M12.  This column allows for the application update reflecting the end of discovery or Argument-in-Chief.  Also, the outcome of any Settlement Process can be reflected.</t>
  </si>
  <si>
    <t>The distributor should enter the number of years remaining before the transition to fully fixed rates is completed. The change in residential rate design is almost complete and distributors should have either 0 or 1 year remaining. If the distributor has fully transitioned to fixed rates put "0" in cell D40. If the distributor has proposed an additional transition year because the change in the residential rate design will result in the fixed charge increasing by more than $4/year, put "1" in cell D40.</t>
  </si>
  <si>
    <t>Alectra Utilities Corporation-Brampton Rate Zone</t>
  </si>
  <si>
    <t>Alectra Utilities Corporation-Enersource Rate Zone</t>
  </si>
  <si>
    <t>Alectra Utilities Corporation-Horizon Utilities Rate Zone</t>
  </si>
  <si>
    <t>Alectra Utilities Corporation-PowerStream Rate Zone</t>
  </si>
  <si>
    <t>Entegrus Powerlines Inc.-For Former St. Thomas Energy Rate Zone</t>
  </si>
  <si>
    <t>Grimsby Power Incorporated</t>
  </si>
  <si>
    <t>InnPower Corporation</t>
  </si>
  <si>
    <t>Entegrus Powerlines Inc.-For Entegrus-Main Rate Zone</t>
  </si>
  <si>
    <t>Lakeland Power Distribution Ltd.-Parry Sound Service Area</t>
  </si>
  <si>
    <t>Newmarket-Tay Power Distribution Ltd.-For Former Midland Power Utility Rate Zone</t>
  </si>
  <si>
    <t>Newmarket-Tay Power Distribution Ltd.-For Newmarket-Tay Power Main Rate Zone</t>
  </si>
  <si>
    <t>Hydro One Networks Inc.-Former Haldimand County Hydro Inc. Service Area</t>
  </si>
  <si>
    <t>Hydro One Networks Inc.-Former Norfolk Power Distribution Inc. Service Area</t>
  </si>
  <si>
    <t>Hydro One Networks Inc.-Former Woodstock Hydro Services Inc. Service Area</t>
  </si>
  <si>
    <t>Synergy North Corporation-Kenora Rate Zone</t>
  </si>
  <si>
    <t>Milton Hydro Distribution Inc.</t>
  </si>
  <si>
    <t xml:space="preserve">Synergy North Corporation-Thunder Bay Rate Zone </t>
  </si>
  <si>
    <t>Hearst Power Distribution Co. Ltd.</t>
  </si>
  <si>
    <t>Welland Hydro-Electric System Corp.</t>
  </si>
  <si>
    <t>Hydro One Networks Inc.</t>
  </si>
  <si>
    <t>Alectra Utilities Corporation-Guelph Rate Zone</t>
  </si>
  <si>
    <t>Elexicon Energy Inc.-Whitby Rate Zone</t>
  </si>
  <si>
    <t>Elexicon Energy Inc.-Veridian Rate Zone</t>
  </si>
  <si>
    <t>ERTH POWER CORPORATION – GODERICH RATE ZONE</t>
  </si>
  <si>
    <t>Hydro One Remote Communites Inc.</t>
  </si>
  <si>
    <t>Energy+ Inc.</t>
  </si>
  <si>
    <t xml:space="preserve">Some Applicants may have a unique rate as a result of a lead-lag study.  The default rate for 2021 cost of service applications is 7.5%, per the letter issued by the Board on June 3, 2015. </t>
  </si>
  <si>
    <t>The applicant should complete Table D if it is applying for approval of a revenue-to-cost ratio in 2021 that is outside of the OEB's policy range for any customer class. Table D will show that the distributor is likely to enter into the 2022 and 2023 Price Cap IR models, as necessary. For 2022 and 2023, enter the planned revenue-to-cost ratios that will be "Change" or "No Change" in 2019 (in the current Revenue/Cost Ratio Adjustment Workform, Worksheet C1.1 'Decision - Cost Revenue Adjustment, column d), and enter TBD for class(es) that will be entered as 'Rebalance'.</t>
  </si>
  <si>
    <t>North Bay Hydro Distribution Limited - Espanola service territory</t>
  </si>
  <si>
    <t>North Bay Hydro Distribution Limited - North Bay service territory</t>
  </si>
  <si>
    <t>GS &lt; 50 kW</t>
  </si>
  <si>
    <t>GS &gt;50 to 999 kW</t>
  </si>
  <si>
    <t>GS &gt;1000 to 4999 kW</t>
  </si>
  <si>
    <t>Large Use</t>
  </si>
  <si>
    <t>Street Lighting</t>
  </si>
  <si>
    <t>Unmetered and Scattered</t>
  </si>
  <si>
    <t>kW</t>
  </si>
  <si>
    <t xml:space="preserve">Revenue Requirement Workform
(RRWF) for 2023 Filers
</t>
  </si>
  <si>
    <t>Sentinel Lighting</t>
  </si>
  <si>
    <t>Dan Gapic</t>
  </si>
  <si>
    <t>gapicd@miltonhydro.com</t>
  </si>
  <si>
    <t>905-876-4611 x410</t>
  </si>
  <si>
    <t>EB-2022-0049</t>
  </si>
  <si>
    <t>Town of Milton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</si>
</sst>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quot;$&quot;#,##0_);[Red]\(&quot;$&quot;#,##0\)"/>
    <numFmt numFmtId="165" formatCode="0.0%"/>
    <numFmt numFmtId="166" formatCode="_-&quot;$&quot;* #,##0_-;\-&quot;$&quot;* #,##0_-;_-&quot;$&quot;* &quot;-&quot;??_-;_-@_-"/>
    <numFmt numFmtId="167" formatCode="&quot;$&quot;#,##0_);[Red]\(&quot;$&quot;#,##0\);&quot;$&quot;\ \-"/>
    <numFmt numFmtId="168" formatCode="\(#\)"/>
    <numFmt numFmtId="169" formatCode="_-* #,##0_-;\-* #,##0_-;_-* &quot;-&quot;??_-;_-@_-"/>
    <numFmt numFmtId="170" formatCode="_-&quot;$&quot;* #,##0.0000_-;\-&quot;$&quot;* #,##0.0000_-;_-&quot;$&quot;* &quot;-&quot;??_-;_-@_-"/>
    <numFmt numFmtId="171" formatCode="0.000%"/>
    <numFmt numFmtId="172" formatCode="&quot;$&quot;#,##0.00;[Red]\(&quot;$&quot;#,##0.00\)"/>
    <numFmt numFmtId="173" formatCode="_-&quot;$&quot;* #,##0.0000_-;\-&quot;$&quot;* #,##0.0000_-;_-&quot;$&quot;* &quot;-&quot;????_-;_-@_-"/>
    <numFmt numFmtId="174" formatCode="0.00%;[Red]\(0.00%\)"/>
  </numFmts>
  <fonts count="64" x14ac:knownFonts="1">
    <font>
      <sz val="10"/>
      <name val="Arial"/>
    </font>
    <font>
      <sz val="10"/>
      <name val="Arial"/>
      <family val="2"/>
    </font>
    <font>
      <sz val="8"/>
      <name val="Arial"/>
      <family val="2"/>
    </font>
    <font>
      <b/>
      <sz val="10"/>
      <name val="Arial"/>
      <family val="2"/>
    </font>
    <font>
      <u/>
      <sz val="10"/>
      <color indexed="12"/>
      <name val="Arial"/>
      <family val="2"/>
    </font>
    <font>
      <b/>
      <sz val="12"/>
      <name val="Arial"/>
      <family val="2"/>
    </font>
    <font>
      <sz val="8"/>
      <name val="Arial"/>
      <family val="2"/>
    </font>
    <font>
      <sz val="10"/>
      <name val="Arial"/>
      <family val="2"/>
    </font>
    <font>
      <u/>
      <sz val="10"/>
      <name val="Arial"/>
      <family val="2"/>
    </font>
    <font>
      <u/>
      <sz val="10"/>
      <name val="Arial"/>
      <family val="2"/>
    </font>
    <font>
      <b/>
      <u/>
      <sz val="10"/>
      <name val="Arial"/>
      <family val="2"/>
    </font>
    <font>
      <sz val="10"/>
      <color indexed="10"/>
      <name val="Arial"/>
      <family val="2"/>
    </font>
    <font>
      <b/>
      <sz val="10"/>
      <color indexed="10"/>
      <name val="Arial"/>
      <family val="2"/>
    </font>
    <font>
      <sz val="16"/>
      <color indexed="12"/>
      <name val="Algerian"/>
      <family val="5"/>
    </font>
    <font>
      <sz val="14"/>
      <name val="Arial"/>
      <family val="2"/>
    </font>
    <font>
      <b/>
      <sz val="14"/>
      <name val="Arial"/>
      <family val="2"/>
    </font>
    <font>
      <b/>
      <u/>
      <sz val="10"/>
      <color indexed="12"/>
      <name val="Arial"/>
      <family val="2"/>
    </font>
    <font>
      <b/>
      <sz val="10"/>
      <color indexed="12"/>
      <name val="Arial"/>
      <family val="2"/>
    </font>
    <font>
      <sz val="10"/>
      <color indexed="12"/>
      <name val="Arial"/>
      <family val="2"/>
    </font>
    <font>
      <sz val="10"/>
      <color indexed="12"/>
      <name val="Arial"/>
      <family val="2"/>
    </font>
    <font>
      <b/>
      <sz val="8"/>
      <color indexed="10"/>
      <name val="Arial"/>
      <family val="2"/>
    </font>
    <font>
      <b/>
      <i/>
      <sz val="10"/>
      <color indexed="10"/>
      <name val="Arial"/>
      <family val="2"/>
    </font>
    <font>
      <b/>
      <sz val="10"/>
      <color indexed="9"/>
      <name val="Arial"/>
      <family val="2"/>
    </font>
    <font>
      <sz val="10"/>
      <color indexed="9"/>
      <name val="Arial"/>
      <family val="2"/>
    </font>
    <font>
      <i/>
      <sz val="10"/>
      <name val="Arial"/>
      <family val="2"/>
    </font>
    <font>
      <b/>
      <u/>
      <sz val="12"/>
      <color indexed="10"/>
      <name val="Cooper Black"/>
      <family val="1"/>
    </font>
    <font>
      <sz val="11"/>
      <color indexed="8"/>
      <name val="Calibri"/>
      <family val="2"/>
    </font>
    <font>
      <b/>
      <sz val="9"/>
      <name val="Arial"/>
      <family val="2"/>
    </font>
    <font>
      <sz val="10"/>
      <color indexed="9"/>
      <name val="Arial"/>
      <family val="2"/>
    </font>
    <font>
      <b/>
      <sz val="12"/>
      <name val="Book Antiqua"/>
      <family val="1"/>
    </font>
    <font>
      <sz val="8"/>
      <name val="Arial"/>
      <family val="2"/>
    </font>
    <font>
      <b/>
      <sz val="20"/>
      <color indexed="9"/>
      <name val="Book Antiqua"/>
      <family val="1"/>
    </font>
    <font>
      <b/>
      <sz val="11"/>
      <color indexed="48"/>
      <name val="Arial"/>
      <family val="2"/>
    </font>
    <font>
      <sz val="11"/>
      <name val="Arial"/>
      <family val="2"/>
    </font>
    <font>
      <b/>
      <u/>
      <sz val="12"/>
      <color indexed="12"/>
      <name val="Arial"/>
      <family val="2"/>
    </font>
    <font>
      <u/>
      <sz val="12"/>
      <color indexed="12"/>
      <name val="Arial"/>
      <family val="2"/>
    </font>
    <font>
      <sz val="14"/>
      <color indexed="12"/>
      <name val="Arial"/>
      <family val="2"/>
    </font>
    <font>
      <b/>
      <sz val="10"/>
      <color indexed="9"/>
      <name val="Arial"/>
      <family val="2"/>
    </font>
    <font>
      <sz val="12"/>
      <name val="Arial"/>
      <family val="2"/>
    </font>
    <font>
      <sz val="12"/>
      <color indexed="12"/>
      <name val="Arial"/>
      <family val="2"/>
    </font>
    <font>
      <b/>
      <sz val="12"/>
      <color indexed="12"/>
      <name val="Arial"/>
      <family val="2"/>
    </font>
    <font>
      <b/>
      <sz val="11"/>
      <color theme="3"/>
      <name val="Arial"/>
      <family val="2"/>
      <scheme val="minor"/>
    </font>
    <font>
      <b/>
      <sz val="11"/>
      <color theme="1"/>
      <name val="Arial"/>
      <family val="2"/>
      <scheme val="minor"/>
    </font>
    <font>
      <b/>
      <sz val="11"/>
      <color theme="1"/>
      <name val="Arial"/>
      <family val="2"/>
    </font>
    <font>
      <sz val="11"/>
      <color theme="1"/>
      <name val="Arial"/>
      <family val="2"/>
    </font>
    <font>
      <i/>
      <sz val="11"/>
      <color theme="0" tint="-0.34998626667073579"/>
      <name val="Arial"/>
      <family val="2"/>
    </font>
    <font>
      <b/>
      <vertAlign val="superscript"/>
      <sz val="14"/>
      <name val="Arial"/>
      <family val="2"/>
    </font>
    <font>
      <sz val="10"/>
      <color rgb="FFFF0000"/>
      <name val="Arial"/>
      <family val="2"/>
    </font>
    <font>
      <b/>
      <vertAlign val="superscript"/>
      <sz val="10"/>
      <name val="Arial"/>
      <family val="2"/>
    </font>
    <font>
      <b/>
      <i/>
      <sz val="10"/>
      <name val="Arial"/>
      <family val="2"/>
    </font>
    <font>
      <b/>
      <i/>
      <sz val="18"/>
      <name val="Arial"/>
      <family val="2"/>
    </font>
    <font>
      <b/>
      <sz val="10"/>
      <color rgb="FF0070C0"/>
      <name val="Arial"/>
      <family val="2"/>
    </font>
    <font>
      <b/>
      <sz val="10"/>
      <color rgb="FFFF0000"/>
      <name val="Arial"/>
      <family val="2"/>
    </font>
    <font>
      <b/>
      <sz val="10"/>
      <name val="Calibri"/>
      <family val="2"/>
    </font>
    <font>
      <sz val="9"/>
      <color indexed="81"/>
      <name val="Tahoma"/>
      <family val="2"/>
    </font>
    <font>
      <b/>
      <sz val="9"/>
      <color indexed="81"/>
      <name val="Tahoma"/>
      <family val="2"/>
    </font>
    <font>
      <vertAlign val="superscript"/>
      <sz val="10"/>
      <name val="Arial"/>
      <family val="2"/>
    </font>
    <font>
      <b/>
      <vertAlign val="superscript"/>
      <sz val="10"/>
      <color indexed="10"/>
      <name val="Arial"/>
      <family val="2"/>
    </font>
    <font>
      <b/>
      <sz val="10"/>
      <color theme="3" tint="0.39997558519241921"/>
      <name val="Arial"/>
      <family val="2"/>
    </font>
    <font>
      <sz val="10"/>
      <color theme="0" tint="-0.34998626667073579"/>
      <name val="Arial"/>
      <family val="2"/>
    </font>
    <font>
      <b/>
      <i/>
      <vertAlign val="superscript"/>
      <sz val="10"/>
      <name val="Arial"/>
      <family val="2"/>
    </font>
    <font>
      <sz val="10"/>
      <color theme="1"/>
      <name val="Arial"/>
      <family val="2"/>
    </font>
    <font>
      <sz val="10"/>
      <color theme="0"/>
      <name val="Arial"/>
      <family val="2"/>
    </font>
    <font>
      <b/>
      <sz val="11"/>
      <name val="Arial"/>
      <family val="2"/>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lightGrid">
        <fgColor theme="6" tint="0.79982909634693444"/>
        <bgColor auto="1"/>
      </patternFill>
    </fill>
    <fill>
      <patternFill patternType="solid">
        <fgColor theme="0"/>
        <bgColor indexed="64"/>
      </patternFill>
    </fill>
  </fills>
  <borders count="80">
    <border>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top/>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thick">
        <color indexed="9"/>
      </right>
      <top/>
      <bottom/>
      <diagonal/>
    </border>
    <border>
      <left style="thin">
        <color indexed="64"/>
      </left>
      <right/>
      <top style="thin">
        <color indexed="64"/>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style="medium">
        <color indexed="64"/>
      </top>
      <bottom/>
      <diagonal/>
    </border>
    <border>
      <left/>
      <right style="double">
        <color indexed="64"/>
      </right>
      <top/>
      <bottom style="medium">
        <color indexed="64"/>
      </bottom>
      <diagonal/>
    </border>
    <border>
      <left/>
      <right style="double">
        <color indexed="64"/>
      </right>
      <top/>
      <bottom/>
      <diagonal/>
    </border>
    <border>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double">
        <color indexed="64"/>
      </left>
      <right style="double">
        <color indexed="64"/>
      </right>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26" fillId="0" borderId="0"/>
    <xf numFmtId="9" fontId="1" fillId="0" borderId="0" applyFont="0" applyFill="0" applyBorder="0" applyAlignment="0" applyProtection="0"/>
    <xf numFmtId="0" fontId="1" fillId="0" borderId="0"/>
  </cellStyleXfs>
  <cellXfs count="933">
    <xf numFmtId="0" fontId="0" fillId="0" borderId="0" xfId="0"/>
    <xf numFmtId="0" fontId="13" fillId="2" borderId="0" xfId="0" applyFont="1" applyFill="1" applyAlignment="1" applyProtection="1">
      <alignment vertical="top" wrapText="1"/>
    </xf>
    <xf numFmtId="0" fontId="0" fillId="2" borderId="0" xfId="0" applyFill="1" applyBorder="1" applyProtection="1"/>
    <xf numFmtId="0" fontId="5" fillId="2" borderId="0" xfId="0" applyFont="1" applyFill="1" applyBorder="1" applyAlignment="1" applyProtection="1"/>
    <xf numFmtId="0" fontId="3" fillId="0" borderId="0" xfId="0" applyFont="1" applyProtection="1"/>
    <xf numFmtId="0" fontId="0" fillId="0" borderId="0" xfId="0" applyProtection="1"/>
    <xf numFmtId="0" fontId="7" fillId="2" borderId="0" xfId="0" applyFont="1" applyFill="1" applyBorder="1" applyAlignment="1" applyProtection="1">
      <alignment horizontal="left"/>
    </xf>
    <xf numFmtId="0" fontId="0" fillId="2" borderId="0" xfId="0" applyFill="1" applyBorder="1" applyProtection="1">
      <protection locked="0"/>
    </xf>
    <xf numFmtId="0" fontId="13" fillId="2" borderId="0" xfId="0" applyFont="1" applyFill="1" applyAlignment="1" applyProtection="1">
      <alignment horizontal="left" vertical="top" wrapText="1" indent="1"/>
    </xf>
    <xf numFmtId="0" fontId="20" fillId="2" borderId="0" xfId="0" applyFont="1" applyFill="1" applyBorder="1" applyAlignment="1" applyProtection="1">
      <alignment horizontal="center"/>
    </xf>
    <xf numFmtId="0" fontId="21" fillId="2" borderId="0" xfId="0" applyFont="1" applyFill="1" applyBorder="1" applyAlignment="1" applyProtection="1">
      <alignment vertical="top" wrapText="1"/>
    </xf>
    <xf numFmtId="0" fontId="3" fillId="0" borderId="0" xfId="0" quotePrefix="1" applyFont="1" applyAlignment="1" applyProtection="1">
      <alignment vertical="top"/>
    </xf>
    <xf numFmtId="0" fontId="17" fillId="2" borderId="0" xfId="0" applyFont="1" applyFill="1" applyBorder="1" applyAlignment="1" applyProtection="1">
      <alignment horizontal="center"/>
    </xf>
    <xf numFmtId="0" fontId="3" fillId="0" borderId="0" xfId="0" quotePrefix="1" applyFont="1" applyBorder="1" applyAlignment="1" applyProtection="1">
      <alignment vertical="center"/>
    </xf>
    <xf numFmtId="0" fontId="5" fillId="0" borderId="0" xfId="0" applyFont="1" applyBorder="1" applyAlignment="1" applyProtection="1">
      <alignment vertical="center"/>
    </xf>
    <xf numFmtId="0" fontId="0" fillId="0" borderId="0" xfId="0" applyAlignment="1" applyProtection="1"/>
    <xf numFmtId="0" fontId="17" fillId="0" borderId="0" xfId="0" applyFont="1" applyProtection="1"/>
    <xf numFmtId="0" fontId="16" fillId="0" borderId="0" xfId="0" applyFont="1" applyBorder="1" applyProtection="1"/>
    <xf numFmtId="164" fontId="0" fillId="0" borderId="0" xfId="2" applyNumberFormat="1" applyFont="1" applyFill="1" applyProtection="1"/>
    <xf numFmtId="0" fontId="18" fillId="0" borderId="0" xfId="0" applyFont="1" applyProtection="1"/>
    <xf numFmtId="164" fontId="0" fillId="0" borderId="0" xfId="0" applyNumberFormat="1" applyFill="1" applyProtection="1"/>
    <xf numFmtId="164" fontId="0" fillId="0" borderId="0" xfId="0" applyNumberFormat="1" applyProtection="1"/>
    <xf numFmtId="0" fontId="16" fillId="0" borderId="0" xfId="0" applyFont="1" applyAlignment="1" applyProtection="1"/>
    <xf numFmtId="0" fontId="7" fillId="0" borderId="0" xfId="0" applyFont="1" applyAlignment="1" applyProtection="1"/>
    <xf numFmtId="0" fontId="7" fillId="0" borderId="0" xfId="0" applyFont="1" applyProtection="1"/>
    <xf numFmtId="0" fontId="0" fillId="0" borderId="0" xfId="0" applyFill="1" applyProtection="1"/>
    <xf numFmtId="0" fontId="16" fillId="0" borderId="0" xfId="0" applyFont="1" applyProtection="1"/>
    <xf numFmtId="0" fontId="0" fillId="0" borderId="0" xfId="0" applyAlignment="1" applyProtection="1">
      <alignment wrapText="1"/>
    </xf>
    <xf numFmtId="167" fontId="0" fillId="0" borderId="0" xfId="2" applyNumberFormat="1" applyFont="1" applyFill="1" applyProtection="1"/>
    <xf numFmtId="0" fontId="0" fillId="0" borderId="0" xfId="0" applyFill="1" applyBorder="1" applyProtection="1"/>
    <xf numFmtId="0" fontId="1" fillId="0" borderId="0" xfId="0" applyFont="1" applyProtection="1"/>
    <xf numFmtId="9" fontId="11" fillId="0" borderId="0" xfId="5" applyFont="1" applyFill="1" applyAlignment="1" applyProtection="1">
      <alignment wrapText="1"/>
    </xf>
    <xf numFmtId="0" fontId="0" fillId="2" borderId="0" xfId="0" applyFill="1" applyBorder="1" applyAlignment="1" applyProtection="1">
      <alignment horizontal="left" indent="1"/>
    </xf>
    <xf numFmtId="0" fontId="0" fillId="0" borderId="0" xfId="0" applyBorder="1" applyProtection="1"/>
    <xf numFmtId="0" fontId="0" fillId="0" borderId="1" xfId="0" applyBorder="1" applyProtection="1"/>
    <xf numFmtId="0" fontId="14" fillId="2" borderId="0" xfId="0" applyFont="1" applyFill="1" applyBorder="1" applyAlignment="1" applyProtection="1">
      <alignment horizontal="left" indent="7"/>
    </xf>
    <xf numFmtId="0" fontId="3" fillId="0" borderId="0" xfId="0" applyFont="1" applyBorder="1" applyAlignment="1" applyProtection="1">
      <alignment horizontal="left"/>
    </xf>
    <xf numFmtId="0" fontId="0" fillId="2" borderId="0" xfId="0" applyFill="1" applyBorder="1" applyAlignment="1" applyProtection="1">
      <alignment horizontal="left" indent="2"/>
    </xf>
    <xf numFmtId="0" fontId="5" fillId="0" borderId="0" xfId="0" applyFont="1" applyFill="1" applyAlignment="1" applyProtection="1">
      <alignment vertical="center"/>
    </xf>
    <xf numFmtId="0" fontId="5" fillId="0" borderId="0" xfId="0" applyFont="1" applyFill="1" applyAlignment="1" applyProtection="1">
      <alignment horizontal="center" vertical="center"/>
    </xf>
    <xf numFmtId="0" fontId="3" fillId="0" borderId="2" xfId="0" applyFont="1" applyBorder="1" applyAlignment="1" applyProtection="1">
      <alignment horizontal="right" wrapText="1"/>
    </xf>
    <xf numFmtId="0" fontId="3" fillId="0" borderId="2" xfId="0" applyFont="1" applyBorder="1" applyAlignment="1" applyProtection="1">
      <alignment horizontal="center" vertical="center"/>
    </xf>
    <xf numFmtId="0" fontId="0" fillId="0" borderId="0" xfId="0" applyAlignment="1" applyProtection="1">
      <alignment horizontal="left"/>
    </xf>
    <xf numFmtId="0" fontId="3" fillId="0" borderId="0" xfId="0" applyFont="1" applyBorder="1" applyAlignment="1" applyProtection="1">
      <alignment horizontal="center" vertical="center"/>
    </xf>
    <xf numFmtId="167" fontId="7" fillId="0" borderId="0" xfId="2" applyNumberFormat="1" applyFont="1" applyBorder="1" applyAlignment="1" applyProtection="1">
      <alignment horizontal="right" vertical="center"/>
    </xf>
    <xf numFmtId="167" fontId="0" fillId="0" borderId="0" xfId="2" applyNumberFormat="1" applyFont="1" applyProtection="1"/>
    <xf numFmtId="167" fontId="0" fillId="0" borderId="0" xfId="2" applyNumberFormat="1" applyFont="1" applyBorder="1" applyProtection="1"/>
    <xf numFmtId="167" fontId="0" fillId="0" borderId="0" xfId="2" applyNumberFormat="1" applyFont="1" applyBorder="1" applyAlignment="1" applyProtection="1"/>
    <xf numFmtId="167" fontId="0" fillId="0" borderId="0" xfId="2" applyNumberFormat="1" applyFont="1" applyBorder="1" applyAlignment="1" applyProtection="1">
      <alignment horizontal="right"/>
    </xf>
    <xf numFmtId="167" fontId="0" fillId="0" borderId="3" xfId="2" applyNumberFormat="1" applyFont="1" applyBorder="1" applyAlignment="1" applyProtection="1"/>
    <xf numFmtId="167" fontId="0" fillId="0" borderId="3" xfId="0" applyNumberFormat="1" applyBorder="1" applyAlignment="1" applyProtection="1"/>
    <xf numFmtId="167" fontId="0" fillId="0" borderId="4" xfId="2" applyNumberFormat="1" applyFont="1" applyBorder="1" applyAlignment="1" applyProtection="1"/>
    <xf numFmtId="167" fontId="0" fillId="0" borderId="0" xfId="0" applyNumberFormat="1" applyProtection="1"/>
    <xf numFmtId="167" fontId="0" fillId="0" borderId="2" xfId="2" applyNumberFormat="1" applyFont="1" applyBorder="1" applyProtection="1"/>
    <xf numFmtId="167" fontId="0" fillId="0" borderId="2" xfId="2" applyNumberFormat="1" applyFont="1" applyBorder="1" applyAlignment="1" applyProtection="1"/>
    <xf numFmtId="0" fontId="17" fillId="0" borderId="0" xfId="0" applyFont="1" applyAlignment="1" applyProtection="1">
      <alignment wrapText="1"/>
    </xf>
    <xf numFmtId="166" fontId="0" fillId="0" borderId="0" xfId="0" applyNumberFormat="1" applyFill="1" applyProtection="1"/>
    <xf numFmtId="0" fontId="5" fillId="0" borderId="0" xfId="0" applyFont="1" applyFill="1" applyAlignment="1" applyProtection="1"/>
    <xf numFmtId="0" fontId="5" fillId="0" borderId="0" xfId="0" applyFont="1" applyFill="1" applyAlignment="1" applyProtection="1">
      <alignment horizontal="center"/>
    </xf>
    <xf numFmtId="0" fontId="0" fillId="0" borderId="3" xfId="0" applyBorder="1" applyProtection="1"/>
    <xf numFmtId="0" fontId="0" fillId="0" borderId="0" xfId="0" applyBorder="1" applyAlignment="1" applyProtection="1">
      <alignment wrapText="1"/>
    </xf>
    <xf numFmtId="0" fontId="3" fillId="0" borderId="0" xfId="0" applyFont="1" applyBorder="1" applyAlignment="1" applyProtection="1">
      <alignment wrapText="1"/>
    </xf>
    <xf numFmtId="0" fontId="0" fillId="0" borderId="5" xfId="0"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0" fillId="0" borderId="5" xfId="0" applyBorder="1" applyProtection="1"/>
    <xf numFmtId="0" fontId="3" fillId="0" borderId="0" xfId="0" applyFont="1" applyBorder="1" applyProtection="1"/>
    <xf numFmtId="0" fontId="3" fillId="0" borderId="1" xfId="0" applyFont="1" applyFill="1" applyBorder="1" applyAlignment="1" applyProtection="1">
      <alignment vertical="center" wrapText="1"/>
    </xf>
    <xf numFmtId="167" fontId="0" fillId="0" borderId="1" xfId="2" applyNumberFormat="1" applyFont="1" applyBorder="1" applyProtection="1"/>
    <xf numFmtId="0" fontId="3" fillId="0" borderId="0" xfId="0" applyFont="1" applyFill="1" applyBorder="1" applyAlignment="1" applyProtection="1">
      <alignment horizontal="center" vertical="center"/>
    </xf>
    <xf numFmtId="0" fontId="3" fillId="0" borderId="0" xfId="0" applyFont="1" applyBorder="1" applyAlignment="1" applyProtection="1"/>
    <xf numFmtId="0" fontId="7" fillId="0" borderId="0" xfId="0" applyFont="1" applyAlignment="1" applyProtection="1">
      <alignment wrapText="1"/>
    </xf>
    <xf numFmtId="0" fontId="1" fillId="0" borderId="0" xfId="0" applyFont="1" applyFill="1" applyProtection="1"/>
    <xf numFmtId="0" fontId="3" fillId="0" borderId="0" xfId="0" applyFont="1" applyFill="1" applyBorder="1" applyProtection="1"/>
    <xf numFmtId="0" fontId="3" fillId="0" borderId="0" xfId="0" applyFont="1" applyAlignment="1" applyProtection="1">
      <alignment horizontal="left"/>
    </xf>
    <xf numFmtId="0" fontId="3" fillId="0" borderId="0" xfId="0" applyFont="1" applyBorder="1" applyAlignment="1" applyProtection="1">
      <alignment vertical="center"/>
    </xf>
    <xf numFmtId="0" fontId="0" fillId="0" borderId="0" xfId="0" applyBorder="1" applyAlignment="1" applyProtection="1">
      <alignment horizontal="center"/>
    </xf>
    <xf numFmtId="49" fontId="0" fillId="0" borderId="0" xfId="0" applyNumberFormat="1" applyBorder="1" applyProtection="1"/>
    <xf numFmtId="0" fontId="0" fillId="0" borderId="0" xfId="0" quotePrefix="1" applyBorder="1" applyProtection="1"/>
    <xf numFmtId="0" fontId="17" fillId="0" borderId="2" xfId="0" applyFont="1" applyBorder="1" applyProtection="1"/>
    <xf numFmtId="10" fontId="0" fillId="0" borderId="0" xfId="5" applyNumberFormat="1" applyFont="1" applyFill="1" applyBorder="1" applyProtection="1"/>
    <xf numFmtId="10" fontId="0" fillId="0" borderId="2" xfId="5" applyNumberFormat="1" applyFont="1" applyFill="1" applyBorder="1" applyProtection="1"/>
    <xf numFmtId="0" fontId="17" fillId="0" borderId="0" xfId="0" applyFont="1" applyBorder="1" applyProtection="1"/>
    <xf numFmtId="10" fontId="0" fillId="0" borderId="6" xfId="5" applyNumberFormat="1" applyFont="1" applyBorder="1" applyProtection="1"/>
    <xf numFmtId="165" fontId="0" fillId="0" borderId="6" xfId="5" applyNumberFormat="1" applyFont="1" applyBorder="1" applyProtection="1"/>
    <xf numFmtId="167" fontId="0" fillId="0" borderId="6" xfId="2" applyNumberFormat="1" applyFont="1" applyBorder="1" applyProtection="1"/>
    <xf numFmtId="165" fontId="0" fillId="0" borderId="0" xfId="5" applyNumberFormat="1" applyFont="1" applyBorder="1" applyProtection="1"/>
    <xf numFmtId="167" fontId="0" fillId="0" borderId="0" xfId="0" applyNumberFormat="1" applyBorder="1" applyProtection="1"/>
    <xf numFmtId="10" fontId="0" fillId="0" borderId="0" xfId="5" applyNumberFormat="1" applyFont="1" applyBorder="1" applyProtection="1"/>
    <xf numFmtId="0" fontId="0" fillId="0" borderId="0" xfId="0" applyBorder="1" applyAlignment="1" applyProtection="1"/>
    <xf numFmtId="0" fontId="0" fillId="0" borderId="0" xfId="0" quotePrefix="1" applyBorder="1" applyAlignment="1" applyProtection="1"/>
    <xf numFmtId="10" fontId="0" fillId="0" borderId="0" xfId="5" applyNumberFormat="1" applyFont="1" applyBorder="1" applyAlignment="1" applyProtection="1"/>
    <xf numFmtId="10" fontId="0" fillId="0" borderId="0" xfId="5" applyNumberFormat="1" applyFont="1" applyFill="1" applyBorder="1" applyAlignment="1" applyProtection="1"/>
    <xf numFmtId="10" fontId="0" fillId="0" borderId="2" xfId="5" applyNumberFormat="1" applyFont="1" applyFill="1" applyBorder="1" applyAlignment="1" applyProtection="1"/>
    <xf numFmtId="9" fontId="0" fillId="0" borderId="4" xfId="0" applyNumberFormat="1" applyBorder="1" applyProtection="1"/>
    <xf numFmtId="167" fontId="0" fillId="0" borderId="4" xfId="2" applyNumberFormat="1" applyFont="1" applyBorder="1" applyProtection="1"/>
    <xf numFmtId="10" fontId="0" fillId="0" borderId="4" xfId="5" applyNumberFormat="1" applyFont="1" applyBorder="1" applyProtection="1"/>
    <xf numFmtId="0" fontId="5" fillId="2" borderId="0" xfId="0" applyFont="1" applyFill="1" applyBorder="1" applyAlignment="1" applyProtection="1">
      <alignment horizontal="left" indent="1"/>
    </xf>
    <xf numFmtId="0" fontId="8" fillId="0" borderId="0" xfId="0" applyFont="1" applyAlignment="1" applyProtection="1"/>
    <xf numFmtId="0" fontId="8" fillId="0" borderId="0" xfId="0" applyFont="1" applyBorder="1" applyAlignment="1" applyProtection="1"/>
    <xf numFmtId="167" fontId="0" fillId="0" borderId="0" xfId="2" applyNumberFormat="1" applyFont="1" applyFill="1" applyBorder="1" applyProtection="1"/>
    <xf numFmtId="164" fontId="0" fillId="0" borderId="0" xfId="0" applyNumberFormat="1" applyBorder="1" applyProtection="1"/>
    <xf numFmtId="167" fontId="0" fillId="0" borderId="2" xfId="2" applyNumberFormat="1" applyFont="1" applyFill="1" applyBorder="1" applyProtection="1"/>
    <xf numFmtId="0" fontId="8" fillId="0" borderId="0" xfId="0" applyFont="1" applyProtection="1"/>
    <xf numFmtId="0" fontId="8" fillId="0" borderId="0" xfId="0" applyFont="1" applyBorder="1" applyProtection="1"/>
    <xf numFmtId="167" fontId="8" fillId="0" borderId="0" xfId="0" applyNumberFormat="1" applyFont="1" applyProtection="1"/>
    <xf numFmtId="167" fontId="1" fillId="0" borderId="0" xfId="0" applyNumberFormat="1" applyFont="1" applyFill="1" applyAlignment="1" applyProtection="1"/>
    <xf numFmtId="167" fontId="0" fillId="0" borderId="0" xfId="2" applyNumberFormat="1" applyFont="1" applyFill="1" applyBorder="1" applyAlignment="1" applyProtection="1"/>
    <xf numFmtId="164" fontId="0" fillId="0" borderId="0" xfId="0" applyNumberFormat="1" applyBorder="1" applyAlignment="1" applyProtection="1">
      <alignment horizontal="right"/>
    </xf>
    <xf numFmtId="167" fontId="0" fillId="0" borderId="0" xfId="2" applyNumberFormat="1" applyFont="1" applyBorder="1" applyAlignment="1" applyProtection="1">
      <alignment horizontal="center"/>
    </xf>
    <xf numFmtId="0" fontId="9" fillId="0" borderId="0" xfId="0" applyFont="1" applyProtection="1"/>
    <xf numFmtId="0" fontId="9" fillId="0" borderId="0" xfId="0" applyFont="1" applyBorder="1" applyProtection="1"/>
    <xf numFmtId="9" fontId="0" fillId="0" borderId="0" xfId="5" quotePrefix="1" applyFont="1" applyAlignment="1" applyProtection="1">
      <alignment horizontal="right"/>
    </xf>
    <xf numFmtId="9" fontId="0" fillId="0" borderId="0" xfId="5" applyFont="1" applyBorder="1" applyAlignment="1" applyProtection="1">
      <alignment horizontal="right"/>
    </xf>
    <xf numFmtId="0" fontId="0" fillId="0" borderId="0" xfId="0" quotePrefix="1" applyAlignment="1" applyProtection="1">
      <alignment horizontal="right"/>
    </xf>
    <xf numFmtId="10" fontId="0" fillId="0" borderId="0" xfId="5" applyNumberFormat="1" applyFont="1" applyFill="1" applyBorder="1" applyAlignment="1" applyProtection="1">
      <alignment horizontal="right"/>
    </xf>
    <xf numFmtId="10" fontId="0" fillId="0" borderId="6" xfId="0" applyNumberFormat="1" applyBorder="1" applyProtection="1"/>
    <xf numFmtId="9" fontId="0" fillId="0" borderId="0" xfId="0" applyNumberFormat="1" applyBorder="1" applyProtection="1"/>
    <xf numFmtId="10" fontId="0" fillId="0" borderId="6" xfId="5" applyNumberFormat="1" applyFont="1" applyBorder="1" applyAlignment="1" applyProtection="1"/>
    <xf numFmtId="0" fontId="6" fillId="0" borderId="0" xfId="0" applyFont="1" applyAlignment="1" applyProtection="1">
      <alignment wrapText="1"/>
    </xf>
    <xf numFmtId="0" fontId="0" fillId="0" borderId="0" xfId="0" applyAlignment="1" applyProtection="1">
      <alignment horizontal="right"/>
    </xf>
    <xf numFmtId="0" fontId="19" fillId="0" borderId="0" xfId="0" applyFont="1" applyProtection="1"/>
    <xf numFmtId="164" fontId="0" fillId="0" borderId="0" xfId="2" applyNumberFormat="1" applyFont="1" applyAlignment="1" applyProtection="1">
      <alignment horizontal="right"/>
    </xf>
    <xf numFmtId="164" fontId="0" fillId="0" borderId="0" xfId="2" applyNumberFormat="1" applyFont="1" applyFill="1" applyBorder="1" applyAlignment="1" applyProtection="1">
      <alignment horizontal="right"/>
    </xf>
    <xf numFmtId="167" fontId="0" fillId="0" borderId="1" xfId="2" applyNumberFormat="1" applyFont="1" applyFill="1" applyBorder="1" applyProtection="1"/>
    <xf numFmtId="0" fontId="0" fillId="0" borderId="7" xfId="0" applyBorder="1" applyProtection="1"/>
    <xf numFmtId="0" fontId="0" fillId="0" borderId="2" xfId="0" applyBorder="1" applyProtection="1"/>
    <xf numFmtId="0" fontId="3" fillId="0" borderId="0" xfId="0" applyFont="1" applyFill="1" applyAlignment="1" applyProtection="1">
      <alignment horizontal="center"/>
    </xf>
    <xf numFmtId="164" fontId="0" fillId="0" borderId="0" xfId="2" applyNumberFormat="1" applyFont="1" applyBorder="1" applyProtection="1"/>
    <xf numFmtId="0" fontId="7" fillId="0" borderId="0" xfId="0" applyFont="1" applyBorder="1" applyAlignment="1" applyProtection="1"/>
    <xf numFmtId="0" fontId="0" fillId="0" borderId="5" xfId="0" applyBorder="1" applyAlignment="1" applyProtection="1"/>
    <xf numFmtId="0" fontId="0" fillId="0" borderId="1" xfId="0" applyBorder="1" applyAlignment="1" applyProtection="1"/>
    <xf numFmtId="167" fontId="0" fillId="0" borderId="8" xfId="2" applyNumberFormat="1" applyFont="1" applyFill="1" applyBorder="1" applyProtection="1"/>
    <xf numFmtId="10" fontId="0" fillId="0" borderId="1" xfId="5" applyNumberFormat="1" applyFont="1" applyFill="1" applyBorder="1" applyProtection="1"/>
    <xf numFmtId="0" fontId="0" fillId="0" borderId="4" xfId="0" applyBorder="1" applyProtection="1"/>
    <xf numFmtId="0" fontId="0" fillId="0" borderId="9" xfId="0" applyBorder="1" applyProtection="1"/>
    <xf numFmtId="0" fontId="0" fillId="0" borderId="0" xfId="0" applyProtection="1">
      <protection locked="0"/>
    </xf>
    <xf numFmtId="0" fontId="0" fillId="0" borderId="0" xfId="0" applyAlignment="1" applyProtection="1">
      <protection locked="0"/>
    </xf>
    <xf numFmtId="0" fontId="13" fillId="2" borderId="0" xfId="0" applyFont="1" applyFill="1" applyAlignment="1" applyProtection="1">
      <alignment horizontal="left" vertical="top" wrapText="1" indent="7"/>
    </xf>
    <xf numFmtId="167" fontId="0" fillId="0" borderId="4" xfId="2" applyNumberFormat="1" applyFont="1" applyBorder="1" applyAlignment="1" applyProtection="1">
      <alignment horizontal="right"/>
    </xf>
    <xf numFmtId="164" fontId="0" fillId="0" borderId="0" xfId="0" applyNumberFormat="1" applyFill="1" applyAlignment="1" applyProtection="1"/>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25" fillId="2" borderId="0" xfId="0" applyFont="1" applyFill="1" applyProtection="1"/>
    <xf numFmtId="0" fontId="27" fillId="2" borderId="0" xfId="0" applyFont="1" applyFill="1" applyAlignment="1" applyProtection="1">
      <alignment horizontal="center" wrapText="1"/>
    </xf>
    <xf numFmtId="0" fontId="10" fillId="0" borderId="0" xfId="0" applyFont="1" applyBorder="1" applyAlignment="1" applyProtection="1">
      <alignment horizontal="left"/>
    </xf>
    <xf numFmtId="167" fontId="0" fillId="0" borderId="0" xfId="2" applyNumberFormat="1" applyFont="1" applyFill="1" applyBorder="1" applyAlignment="1" applyProtection="1">
      <alignment horizontal="right"/>
    </xf>
    <xf numFmtId="167" fontId="0" fillId="0" borderId="0" xfId="0" applyNumberFormat="1" applyAlignment="1" applyProtection="1"/>
    <xf numFmtId="167" fontId="0" fillId="0" borderId="0" xfId="0" applyNumberFormat="1" applyBorder="1" applyAlignment="1" applyProtection="1"/>
    <xf numFmtId="167" fontId="0" fillId="0" borderId="0" xfId="2" applyNumberFormat="1" applyFont="1" applyAlignment="1" applyProtection="1">
      <alignment horizontal="right"/>
    </xf>
    <xf numFmtId="167" fontId="7" fillId="0" borderId="0" xfId="0" applyNumberFormat="1" applyFont="1" applyAlignment="1" applyProtection="1">
      <alignment horizontal="right"/>
    </xf>
    <xf numFmtId="0" fontId="13" fillId="2" borderId="0" xfId="0" applyFont="1" applyFill="1" applyAlignment="1" applyProtection="1">
      <alignment horizontal="left" vertical="top" wrapText="1" indent="8"/>
    </xf>
    <xf numFmtId="0" fontId="14" fillId="2" borderId="0" xfId="0" applyFont="1" applyFill="1" applyBorder="1" applyAlignment="1" applyProtection="1">
      <alignment horizontal="left" indent="8"/>
    </xf>
    <xf numFmtId="164" fontId="0" fillId="0" borderId="0" xfId="2" applyNumberFormat="1" applyFont="1" applyFill="1" applyBorder="1" applyProtection="1"/>
    <xf numFmtId="49" fontId="10" fillId="0" borderId="0" xfId="0" applyNumberFormat="1" applyFont="1" applyBorder="1" applyAlignment="1" applyProtection="1">
      <alignment horizontal="left"/>
    </xf>
    <xf numFmtId="167" fontId="0" fillId="0" borderId="0" xfId="0" applyNumberFormat="1" applyBorder="1" applyAlignment="1" applyProtection="1">
      <alignment horizontal="center"/>
    </xf>
    <xf numFmtId="167" fontId="0" fillId="0" borderId="0" xfId="0" applyNumberFormat="1" applyBorder="1" applyAlignment="1" applyProtection="1">
      <alignment horizontal="right"/>
    </xf>
    <xf numFmtId="167" fontId="0" fillId="0" borderId="0" xfId="0" applyNumberFormat="1" applyFill="1" applyBorder="1" applyAlignment="1" applyProtection="1">
      <alignment horizontal="right"/>
    </xf>
    <xf numFmtId="167" fontId="0" fillId="0" borderId="0" xfId="0" applyNumberFormat="1" applyFill="1" applyBorder="1" applyProtection="1"/>
    <xf numFmtId="10" fontId="0" fillId="0" borderId="0" xfId="0" applyNumberFormat="1" applyBorder="1" applyProtection="1"/>
    <xf numFmtId="164" fontId="0" fillId="0" borderId="0" xfId="0" applyNumberFormat="1" applyFill="1" applyBorder="1" applyAlignment="1" applyProtection="1">
      <alignment horizontal="right"/>
    </xf>
    <xf numFmtId="0" fontId="9" fillId="0" borderId="0" xfId="0" applyFont="1" applyFill="1" applyBorder="1" applyProtection="1"/>
    <xf numFmtId="9" fontId="0" fillId="0" borderId="0" xfId="5" applyFont="1" applyFill="1" applyBorder="1" applyAlignment="1" applyProtection="1">
      <alignment horizontal="right"/>
    </xf>
    <xf numFmtId="0" fontId="3" fillId="0" borderId="0" xfId="0" applyFont="1" applyAlignment="1" applyProtection="1">
      <alignment wrapText="1"/>
    </xf>
    <xf numFmtId="0" fontId="1" fillId="0" borderId="0" xfId="0" applyFont="1" applyFill="1" applyAlignment="1" applyProtection="1">
      <alignment wrapText="1"/>
    </xf>
    <xf numFmtId="0" fontId="3" fillId="0" borderId="0" xfId="0" applyFont="1" applyFill="1" applyBorder="1" applyAlignment="1" applyProtection="1">
      <alignment horizontal="center" wrapText="1"/>
    </xf>
    <xf numFmtId="0" fontId="0" fillId="0" borderId="0" xfId="0" quotePrefix="1" applyBorder="1" applyAlignment="1" applyProtection="1">
      <alignment horizontal="center"/>
    </xf>
    <xf numFmtId="0" fontId="3" fillId="0" borderId="0" xfId="0" applyFont="1" applyAlignment="1" applyProtection="1">
      <alignment vertical="top"/>
    </xf>
    <xf numFmtId="165" fontId="0" fillId="0" borderId="0" xfId="5" applyNumberFormat="1" applyFont="1" applyFill="1" applyBorder="1" applyProtection="1"/>
    <xf numFmtId="165" fontId="0" fillId="0" borderId="6" xfId="5" applyNumberFormat="1" applyFont="1" applyFill="1" applyBorder="1" applyProtection="1"/>
    <xf numFmtId="0" fontId="28" fillId="0" borderId="0" xfId="0" applyFont="1" applyProtection="1"/>
    <xf numFmtId="167" fontId="0" fillId="0" borderId="0" xfId="2" applyNumberFormat="1" applyFont="1" applyAlignment="1" applyProtection="1"/>
    <xf numFmtId="0" fontId="28" fillId="0" borderId="0" xfId="0" applyFont="1" applyFill="1" applyProtection="1"/>
    <xf numFmtId="0" fontId="0" fillId="0" borderId="0" xfId="0" applyFill="1" applyAlignment="1" applyProtection="1">
      <alignment wrapText="1"/>
    </xf>
    <xf numFmtId="10" fontId="0" fillId="0" borderId="4" xfId="0" applyNumberFormat="1" applyBorder="1" applyProtection="1"/>
    <xf numFmtId="10" fontId="0" fillId="0" borderId="0" xfId="5" applyNumberFormat="1" applyFont="1" applyFill="1" applyProtection="1"/>
    <xf numFmtId="168" fontId="0" fillId="0" borderId="0" xfId="0" applyNumberFormat="1" applyFill="1" applyProtection="1"/>
    <xf numFmtId="168" fontId="3" fillId="0" borderId="0" xfId="0" quotePrefix="1" applyNumberFormat="1" applyFont="1" applyFill="1" applyProtection="1"/>
    <xf numFmtId="165" fontId="0" fillId="0" borderId="0" xfId="0" applyNumberFormat="1" applyFill="1" applyProtection="1"/>
    <xf numFmtId="10" fontId="0" fillId="0" borderId="0" xfId="0" applyNumberFormat="1" applyFill="1" applyProtection="1"/>
    <xf numFmtId="0" fontId="0" fillId="0" borderId="0" xfId="0" applyFill="1" applyAlignment="1" applyProtection="1">
      <alignment horizontal="left"/>
    </xf>
    <xf numFmtId="0" fontId="3" fillId="0" borderId="0" xfId="0" quotePrefix="1" applyFont="1" applyFill="1" applyProtection="1"/>
    <xf numFmtId="168" fontId="0" fillId="0" borderId="0" xfId="0" applyNumberFormat="1" applyFill="1" applyBorder="1" applyProtection="1"/>
    <xf numFmtId="164" fontId="7" fillId="2" borderId="0" xfId="0" applyNumberFormat="1" applyFont="1" applyFill="1" applyBorder="1" applyAlignment="1" applyProtection="1">
      <alignment horizontal="center" vertical="center"/>
    </xf>
    <xf numFmtId="164" fontId="7" fillId="2" borderId="0" xfId="0" applyNumberFormat="1" applyFont="1" applyFill="1" applyProtection="1"/>
    <xf numFmtId="164" fontId="7" fillId="0" borderId="0" xfId="0" applyNumberFormat="1" applyFont="1" applyBorder="1" applyProtection="1"/>
    <xf numFmtId="164" fontId="7" fillId="0" borderId="0" xfId="0" applyNumberFormat="1" applyFont="1" applyFill="1" applyBorder="1" applyProtection="1"/>
    <xf numFmtId="164" fontId="7" fillId="2" borderId="0" xfId="0" applyNumberFormat="1" applyFont="1" applyFill="1" applyBorder="1" applyAlignment="1" applyProtection="1">
      <alignment horizontal="right"/>
    </xf>
    <xf numFmtId="164" fontId="7" fillId="2" borderId="0" xfId="0" applyNumberFormat="1" applyFont="1" applyFill="1" applyBorder="1" applyAlignment="1" applyProtection="1"/>
    <xf numFmtId="164" fontId="7" fillId="2" borderId="0" xfId="0" applyNumberFormat="1" applyFont="1" applyFill="1" applyBorder="1" applyProtection="1"/>
    <xf numFmtId="164" fontId="7" fillId="0" borderId="0" xfId="0" applyNumberFormat="1" applyFont="1" applyFill="1" applyBorder="1" applyAlignment="1" applyProtection="1">
      <alignment horizontal="right"/>
    </xf>
    <xf numFmtId="164" fontId="3" fillId="2" borderId="0" xfId="0" quotePrefix="1" applyNumberFormat="1" applyFont="1" applyFill="1" applyBorder="1" applyAlignment="1" applyProtection="1">
      <alignment horizontal="right"/>
    </xf>
    <xf numFmtId="0" fontId="3" fillId="2" borderId="0" xfId="0" quotePrefix="1" applyFont="1" applyFill="1" applyProtection="1"/>
    <xf numFmtId="0" fontId="0" fillId="0" borderId="0" xfId="0" applyAlignment="1" applyProtection="1">
      <alignment vertical="top"/>
    </xf>
    <xf numFmtId="0" fontId="0" fillId="0" borderId="0" xfId="0" applyFill="1" applyAlignment="1" applyProtection="1">
      <alignment vertical="top"/>
    </xf>
    <xf numFmtId="0" fontId="0" fillId="0" borderId="1" xfId="0" applyBorder="1" applyAlignment="1" applyProtection="1">
      <alignment vertical="top"/>
    </xf>
    <xf numFmtId="0" fontId="0" fillId="0" borderId="0" xfId="0" applyAlignment="1" applyProtection="1">
      <alignment vertical="center"/>
    </xf>
    <xf numFmtId="0" fontId="0" fillId="0" borderId="0" xfId="0" applyFill="1" applyAlignment="1" applyProtection="1">
      <alignment vertical="center"/>
    </xf>
    <xf numFmtId="0" fontId="3" fillId="0" borderId="0" xfId="0" applyFont="1" applyFill="1" applyAlignment="1" applyProtection="1">
      <alignment vertical="top"/>
    </xf>
    <xf numFmtId="10" fontId="0" fillId="0" borderId="1" xfId="5" applyNumberFormat="1" applyFont="1" applyBorder="1" applyAlignment="1" applyProtection="1">
      <alignment vertical="top"/>
    </xf>
    <xf numFmtId="0" fontId="0" fillId="0" borderId="5" xfId="0" applyBorder="1" applyAlignment="1" applyProtection="1">
      <alignment vertical="top"/>
    </xf>
    <xf numFmtId="0" fontId="3" fillId="0" borderId="0" xfId="0" applyFont="1" applyBorder="1" applyAlignment="1" applyProtection="1">
      <alignment vertical="top"/>
    </xf>
    <xf numFmtId="167" fontId="0" fillId="0" borderId="1" xfId="2" applyNumberFormat="1" applyFont="1" applyBorder="1" applyAlignment="1" applyProtection="1">
      <alignment vertical="top"/>
    </xf>
    <xf numFmtId="167" fontId="0" fillId="0" borderId="5" xfId="2" applyNumberFormat="1" applyFont="1" applyBorder="1" applyAlignment="1" applyProtection="1">
      <alignment vertical="top"/>
    </xf>
    <xf numFmtId="167" fontId="0" fillId="0" borderId="7" xfId="2" applyNumberFormat="1" applyFont="1" applyBorder="1" applyAlignment="1" applyProtection="1">
      <alignment vertical="top"/>
    </xf>
    <xf numFmtId="167" fontId="0" fillId="0" borderId="8" xfId="2" applyNumberFormat="1" applyFont="1" applyBorder="1" applyAlignment="1" applyProtection="1">
      <alignment vertical="top"/>
    </xf>
    <xf numFmtId="167" fontId="0" fillId="0" borderId="11" xfId="2" applyNumberFormat="1" applyFont="1" applyBorder="1" applyAlignment="1" applyProtection="1">
      <alignment vertical="top"/>
    </xf>
    <xf numFmtId="167" fontId="0" fillId="0" borderId="12" xfId="2" applyNumberFormat="1" applyFont="1" applyBorder="1" applyAlignment="1" applyProtection="1">
      <alignment vertical="top"/>
    </xf>
    <xf numFmtId="167" fontId="0" fillId="0" borderId="11" xfId="0" applyNumberFormat="1" applyBorder="1" applyAlignment="1" applyProtection="1">
      <alignment vertical="top"/>
    </xf>
    <xf numFmtId="167" fontId="0" fillId="0" borderId="5" xfId="0" applyNumberFormat="1" applyBorder="1" applyAlignment="1" applyProtection="1">
      <alignment vertical="top"/>
    </xf>
    <xf numFmtId="167" fontId="0" fillId="0" borderId="1" xfId="0" applyNumberFormat="1" applyBorder="1" applyAlignment="1" applyProtection="1">
      <alignment vertical="top"/>
    </xf>
    <xf numFmtId="10" fontId="0" fillId="0" borderId="5" xfId="5" applyNumberFormat="1" applyFont="1" applyBorder="1" applyAlignment="1" applyProtection="1">
      <alignment vertical="top"/>
    </xf>
    <xf numFmtId="10" fontId="3" fillId="0" borderId="0" xfId="0" applyNumberFormat="1" applyFont="1" applyBorder="1" applyAlignment="1" applyProtection="1">
      <alignment vertical="top"/>
    </xf>
    <xf numFmtId="10" fontId="0" fillId="0" borderId="0" xfId="0" applyNumberFormat="1" applyAlignment="1" applyProtection="1">
      <alignment vertical="top"/>
    </xf>
    <xf numFmtId="167" fontId="1" fillId="0" borderId="5" xfId="2" applyNumberFormat="1" applyFont="1" applyFill="1" applyBorder="1" applyAlignment="1" applyProtection="1">
      <alignment vertical="top"/>
    </xf>
    <xf numFmtId="0" fontId="3" fillId="0" borderId="0" xfId="0" applyFont="1" applyFill="1" applyBorder="1" applyAlignment="1" applyProtection="1">
      <alignment vertical="top"/>
    </xf>
    <xf numFmtId="167" fontId="1" fillId="0" borderId="1" xfId="0" applyNumberFormat="1" applyFont="1" applyFill="1" applyBorder="1" applyAlignment="1" applyProtection="1">
      <alignment vertical="top"/>
    </xf>
    <xf numFmtId="166" fontId="1" fillId="0" borderId="5" xfId="2" applyNumberFormat="1" applyFont="1" applyFill="1" applyBorder="1" applyAlignment="1" applyProtection="1">
      <alignment vertical="top"/>
    </xf>
    <xf numFmtId="166" fontId="1" fillId="0" borderId="1" xfId="0" applyNumberFormat="1" applyFont="1" applyFill="1" applyBorder="1" applyAlignment="1" applyProtection="1">
      <alignment vertical="top"/>
    </xf>
    <xf numFmtId="10" fontId="0" fillId="0" borderId="7" xfId="5" applyNumberFormat="1" applyFont="1" applyBorder="1" applyAlignment="1" applyProtection="1">
      <alignment vertical="top"/>
    </xf>
    <xf numFmtId="10" fontId="0" fillId="0" borderId="8" xfId="5" applyNumberFormat="1" applyFont="1" applyBorder="1" applyAlignment="1" applyProtection="1">
      <alignment vertical="top"/>
    </xf>
    <xf numFmtId="10" fontId="0" fillId="0" borderId="7" xfId="0" applyNumberFormat="1" applyBorder="1" applyAlignment="1" applyProtection="1">
      <alignment vertical="top"/>
    </xf>
    <xf numFmtId="10" fontId="0" fillId="0" borderId="5" xfId="0" applyNumberFormat="1" applyBorder="1" applyAlignment="1" applyProtection="1">
      <alignment vertical="top"/>
    </xf>
    <xf numFmtId="10" fontId="0" fillId="0" borderId="8" xfId="0" applyNumberFormat="1" applyBorder="1" applyAlignment="1" applyProtection="1">
      <alignment vertical="top"/>
    </xf>
    <xf numFmtId="10" fontId="0" fillId="0" borderId="1" xfId="0" applyNumberFormat="1" applyBorder="1" applyAlignment="1" applyProtection="1">
      <alignment vertical="top"/>
    </xf>
    <xf numFmtId="164" fontId="3" fillId="0" borderId="0" xfId="0" applyNumberFormat="1" applyFont="1" applyBorder="1" applyAlignment="1" applyProtection="1">
      <alignment vertical="top"/>
    </xf>
    <xf numFmtId="164" fontId="0" fillId="0" borderId="0" xfId="0" applyNumberFormat="1" applyAlignment="1" applyProtection="1">
      <alignment vertical="top"/>
    </xf>
    <xf numFmtId="164" fontId="0" fillId="0" borderId="8" xfId="0" applyNumberFormat="1" applyBorder="1" applyAlignment="1" applyProtection="1">
      <alignment vertical="top"/>
    </xf>
    <xf numFmtId="167" fontId="0" fillId="0" borderId="0" xfId="2" applyNumberFormat="1" applyFont="1" applyFill="1" applyAlignment="1" applyProtection="1">
      <alignment vertical="top"/>
    </xf>
    <xf numFmtId="166" fontId="0" fillId="0" borderId="0" xfId="2" applyNumberFormat="1" applyFont="1" applyFill="1" applyBorder="1" applyAlignment="1" applyProtection="1">
      <alignment vertical="top"/>
    </xf>
    <xf numFmtId="164" fontId="0" fillId="0" borderId="0" xfId="2" applyNumberFormat="1" applyFont="1" applyFill="1" applyAlignment="1" applyProtection="1">
      <alignment vertical="top"/>
    </xf>
    <xf numFmtId="166" fontId="0" fillId="0" borderId="0" xfId="2" applyNumberFormat="1" applyFont="1" applyFill="1" applyAlignment="1" applyProtection="1">
      <alignment vertical="top"/>
    </xf>
    <xf numFmtId="164" fontId="0" fillId="0" borderId="0" xfId="0" applyNumberFormat="1" applyFill="1" applyAlignment="1" applyProtection="1">
      <alignment vertical="top"/>
    </xf>
    <xf numFmtId="166" fontId="0" fillId="0" borderId="0" xfId="2" applyNumberFormat="1" applyFont="1" applyAlignment="1" applyProtection="1">
      <alignment vertical="top"/>
    </xf>
    <xf numFmtId="10" fontId="0" fillId="0" borderId="0" xfId="5" applyNumberFormat="1" applyFont="1" applyFill="1" applyAlignment="1" applyProtection="1">
      <alignment vertical="top"/>
    </xf>
    <xf numFmtId="168" fontId="0" fillId="0" borderId="0" xfId="0" applyNumberFormat="1" applyFill="1" applyAlignment="1" applyProtection="1">
      <alignment vertical="top"/>
    </xf>
    <xf numFmtId="0" fontId="0" fillId="0" borderId="0" xfId="0" applyFill="1" applyBorder="1" applyAlignment="1" applyProtection="1">
      <alignment vertical="top"/>
    </xf>
    <xf numFmtId="164" fontId="0" fillId="0" borderId="0" xfId="0" applyNumberFormat="1" applyFill="1" applyBorder="1" applyAlignment="1" applyProtection="1">
      <alignment vertical="top"/>
    </xf>
    <xf numFmtId="168" fontId="3" fillId="0" borderId="0" xfId="0" quotePrefix="1" applyNumberFormat="1" applyFont="1" applyFill="1" applyAlignment="1" applyProtection="1">
      <alignment vertical="top"/>
    </xf>
    <xf numFmtId="165" fontId="0" fillId="0" borderId="0" xfId="0" applyNumberFormat="1" applyFill="1" applyAlignment="1" applyProtection="1">
      <alignment vertical="top"/>
    </xf>
    <xf numFmtId="165" fontId="0" fillId="0" borderId="13" xfId="0" applyNumberFormat="1" applyFill="1" applyBorder="1" applyAlignment="1" applyProtection="1">
      <alignment vertical="top"/>
    </xf>
    <xf numFmtId="9" fontId="11" fillId="0" borderId="0" xfId="5" applyFont="1" applyFill="1" applyAlignment="1" applyProtection="1">
      <alignment vertical="top" wrapText="1"/>
    </xf>
    <xf numFmtId="9" fontId="0" fillId="0" borderId="0" xfId="5" applyFont="1" applyFill="1" applyAlignment="1" applyProtection="1">
      <alignment vertical="top"/>
    </xf>
    <xf numFmtId="10" fontId="0" fillId="0" borderId="0" xfId="0" applyNumberFormat="1" applyFill="1" applyAlignment="1" applyProtection="1">
      <alignment vertical="top"/>
    </xf>
    <xf numFmtId="167" fontId="0" fillId="0" borderId="2" xfId="2" applyNumberFormat="1" applyFont="1" applyFill="1" applyBorder="1" applyAlignment="1" applyProtection="1">
      <alignment vertical="top"/>
    </xf>
    <xf numFmtId="167" fontId="0" fillId="0" borderId="0" xfId="2" applyNumberFormat="1" applyFont="1" applyFill="1" applyBorder="1" applyAlignment="1" applyProtection="1">
      <alignment vertical="top"/>
    </xf>
    <xf numFmtId="167" fontId="0" fillId="0" borderId="0" xfId="2" applyNumberFormat="1" applyFont="1" applyBorder="1" applyAlignment="1" applyProtection="1">
      <alignment vertical="top"/>
    </xf>
    <xf numFmtId="164" fontId="0" fillId="0" borderId="0" xfId="2" applyNumberFormat="1" applyFont="1" applyAlignment="1" applyProtection="1">
      <alignment vertical="top"/>
    </xf>
    <xf numFmtId="167" fontId="0" fillId="0" borderId="0" xfId="2" applyNumberFormat="1" applyFont="1" applyAlignment="1" applyProtection="1">
      <alignment vertical="top"/>
    </xf>
    <xf numFmtId="167" fontId="0" fillId="0" borderId="0" xfId="2" applyNumberFormat="1" applyFont="1" applyBorder="1" applyAlignment="1" applyProtection="1">
      <alignment horizontal="right" vertical="top"/>
    </xf>
    <xf numFmtId="167" fontId="0" fillId="0" borderId="2" xfId="2" applyNumberFormat="1" applyFont="1" applyBorder="1" applyAlignment="1" applyProtection="1">
      <alignment horizontal="right" vertical="top"/>
    </xf>
    <xf numFmtId="164" fontId="0" fillId="0" borderId="0" xfId="0" applyNumberFormat="1" applyBorder="1" applyAlignment="1" applyProtection="1">
      <alignment vertical="top"/>
    </xf>
    <xf numFmtId="167" fontId="0" fillId="0" borderId="0" xfId="0" applyNumberFormat="1" applyAlignment="1" applyProtection="1">
      <alignment vertical="top"/>
    </xf>
    <xf numFmtId="167" fontId="0" fillId="0" borderId="4" xfId="0" applyNumberFormat="1" applyFill="1" applyBorder="1" applyAlignment="1" applyProtection="1">
      <alignment vertical="top"/>
    </xf>
    <xf numFmtId="167" fontId="0" fillId="0" borderId="0" xfId="0" applyNumberFormat="1" applyFill="1" applyBorder="1" applyAlignment="1" applyProtection="1">
      <alignment vertical="top"/>
    </xf>
    <xf numFmtId="167" fontId="8" fillId="0" borderId="0" xfId="0" applyNumberFormat="1" applyFont="1" applyAlignment="1" applyProtection="1">
      <alignment vertical="top"/>
    </xf>
    <xf numFmtId="164" fontId="8" fillId="0" borderId="0" xfId="0" applyNumberFormat="1" applyFont="1" applyBorder="1" applyAlignment="1" applyProtection="1">
      <alignment vertical="top"/>
    </xf>
    <xf numFmtId="167" fontId="1" fillId="0" borderId="0" xfId="0" applyNumberFormat="1" applyFont="1" applyFill="1" applyAlignment="1" applyProtection="1">
      <alignment vertical="top"/>
    </xf>
    <xf numFmtId="164" fontId="0" fillId="0" borderId="0" xfId="0" applyNumberFormat="1" applyBorder="1" applyAlignment="1" applyProtection="1">
      <alignment horizontal="right" vertical="top"/>
    </xf>
    <xf numFmtId="164" fontId="0" fillId="0" borderId="0" xfId="0" applyNumberFormat="1" applyFill="1" applyBorder="1" applyAlignment="1" applyProtection="1">
      <alignment horizontal="right" vertical="top"/>
    </xf>
    <xf numFmtId="167" fontId="0" fillId="0" borderId="0" xfId="2" applyNumberFormat="1" applyFont="1" applyBorder="1" applyAlignment="1" applyProtection="1">
      <alignment horizontal="center" vertical="top"/>
    </xf>
    <xf numFmtId="167" fontId="0" fillId="0" borderId="4" xfId="2" applyNumberFormat="1" applyFont="1" applyBorder="1" applyAlignment="1" applyProtection="1">
      <alignment horizontal="right" vertical="top"/>
    </xf>
    <xf numFmtId="168" fontId="0" fillId="0" borderId="0" xfId="0" applyNumberFormat="1" applyFill="1" applyAlignment="1" applyProtection="1">
      <alignment vertical="top"/>
      <protection locked="0"/>
    </xf>
    <xf numFmtId="164" fontId="0" fillId="0" borderId="0" xfId="2" applyNumberFormat="1" applyFont="1" applyAlignment="1" applyProtection="1"/>
    <xf numFmtId="164" fontId="0" fillId="0" borderId="0" xfId="2" applyNumberFormat="1" applyFont="1" applyFill="1" applyAlignment="1" applyProtection="1"/>
    <xf numFmtId="0" fontId="14" fillId="0" borderId="0" xfId="0" applyFont="1" applyFill="1" applyBorder="1" applyAlignment="1" applyProtection="1">
      <alignment horizontal="left"/>
    </xf>
    <xf numFmtId="0" fontId="3" fillId="0" borderId="0" xfId="0" quotePrefix="1" applyFont="1" applyFill="1" applyBorder="1" applyAlignment="1" applyProtection="1">
      <alignment vertical="top"/>
    </xf>
    <xf numFmtId="0" fontId="14" fillId="0" borderId="0" xfId="0" applyFont="1" applyFill="1" applyBorder="1" applyAlignment="1" applyProtection="1">
      <alignment horizontal="left" indent="1"/>
    </xf>
    <xf numFmtId="0" fontId="15" fillId="0" borderId="0" xfId="0" quotePrefix="1" applyFont="1" applyFill="1" applyBorder="1" applyProtection="1"/>
    <xf numFmtId="0" fontId="14" fillId="0" borderId="0" xfId="0" applyFont="1" applyFill="1" applyBorder="1" applyProtection="1"/>
    <xf numFmtId="0" fontId="27" fillId="0" borderId="0" xfId="0" applyFont="1" applyFill="1" applyBorder="1" applyProtection="1"/>
    <xf numFmtId="2" fontId="27" fillId="0" borderId="0" xfId="0" applyNumberFormat="1" applyFont="1" applyFill="1" applyBorder="1" applyAlignment="1" applyProtection="1">
      <alignment horizontal="left" indent="1"/>
    </xf>
    <xf numFmtId="0" fontId="13" fillId="0" borderId="0" xfId="0" applyFont="1" applyFill="1" applyBorder="1" applyAlignment="1" applyProtection="1">
      <alignment vertical="top" wrapText="1"/>
    </xf>
    <xf numFmtId="0" fontId="14" fillId="0" borderId="0" xfId="0" applyFont="1" applyFill="1" applyBorder="1" applyAlignment="1" applyProtection="1">
      <alignment horizontal="left" indent="1"/>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29" fillId="0" borderId="0" xfId="0" applyFont="1" applyProtection="1"/>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22" fontId="0" fillId="0" borderId="0" xfId="0" applyNumberFormat="1" applyAlignment="1" applyProtection="1">
      <alignment horizontal="left"/>
      <protection locked="0"/>
    </xf>
    <xf numFmtId="0" fontId="1" fillId="0" borderId="0" xfId="1" applyNumberFormat="1" applyFont="1" applyAlignment="1" applyProtection="1">
      <alignment horizontal="center"/>
      <protection locked="0"/>
    </xf>
    <xf numFmtId="22" fontId="0" fillId="0" borderId="0" xfId="0" applyNumberFormat="1" applyAlignment="1" applyProtection="1">
      <alignment horizontal="center"/>
      <protection locked="0"/>
    </xf>
    <xf numFmtId="0" fontId="24" fillId="2" borderId="0" xfId="0" applyNumberFormat="1" applyFont="1" applyFill="1" applyAlignment="1" applyProtection="1">
      <alignment vertical="top" wrapText="1"/>
    </xf>
    <xf numFmtId="0" fontId="17" fillId="2" borderId="0" xfId="0" applyNumberFormat="1" applyFont="1" applyFill="1" applyBorder="1" applyAlignment="1" applyProtection="1">
      <alignment horizontal="center"/>
    </xf>
    <xf numFmtId="0" fontId="21" fillId="2" borderId="0" xfId="0" applyFont="1" applyFill="1" applyBorder="1" applyAlignment="1" applyProtection="1">
      <alignment vertical="center" wrapText="1"/>
    </xf>
    <xf numFmtId="0" fontId="18" fillId="2" borderId="0" xfId="0" applyFont="1" applyFill="1" applyBorder="1" applyProtection="1"/>
    <xf numFmtId="0" fontId="35" fillId="2" borderId="0" xfId="0" applyFont="1" applyFill="1" applyBorder="1" applyProtection="1"/>
    <xf numFmtId="0" fontId="34" fillId="2" borderId="0" xfId="0" applyFont="1" applyFill="1" applyBorder="1" applyAlignment="1" applyProtection="1">
      <alignment horizontal="left"/>
      <protection locked="0"/>
    </xf>
    <xf numFmtId="0" fontId="34" fillId="2" borderId="0" xfId="0" applyFont="1" applyFill="1" applyBorder="1" applyProtection="1"/>
    <xf numFmtId="0" fontId="34" fillId="2" borderId="0" xfId="0" applyFont="1" applyFill="1" applyBorder="1" applyAlignment="1" applyProtection="1">
      <alignment horizontal="center"/>
    </xf>
    <xf numFmtId="0" fontId="18" fillId="2" borderId="0" xfId="0" applyFont="1" applyFill="1" applyBorder="1" applyAlignment="1" applyProtection="1"/>
    <xf numFmtId="0" fontId="18" fillId="2" borderId="0" xfId="0" applyFont="1" applyFill="1" applyBorder="1" applyAlignment="1" applyProtection="1">
      <alignment horizontal="left"/>
    </xf>
    <xf numFmtId="0" fontId="36" fillId="2" borderId="0" xfId="0" applyFont="1" applyFill="1" applyBorder="1" applyAlignment="1" applyProtection="1">
      <alignment horizontal="left" indent="7"/>
    </xf>
    <xf numFmtId="0" fontId="12" fillId="0" borderId="0" xfId="0" quotePrefix="1" applyFont="1" applyBorder="1" applyAlignment="1" applyProtection="1"/>
    <xf numFmtId="0" fontId="3" fillId="0" borderId="2" xfId="0" applyFont="1" applyFill="1" applyBorder="1" applyAlignment="1" applyProtection="1">
      <alignment horizontal="center" vertical="center" wrapText="1"/>
    </xf>
    <xf numFmtId="0" fontId="17" fillId="0" borderId="0" xfId="0" applyFont="1" applyAlignment="1" applyProtection="1">
      <alignment horizontal="center"/>
    </xf>
    <xf numFmtId="0" fontId="0" fillId="0" borderId="0" xfId="0" applyAlignment="1" applyProtection="1">
      <alignment horizontal="center"/>
    </xf>
    <xf numFmtId="0" fontId="0" fillId="0" borderId="0" xfId="0" applyFill="1" applyBorder="1" applyAlignment="1" applyProtection="1">
      <alignment horizontal="center"/>
    </xf>
    <xf numFmtId="0" fontId="0" fillId="0" borderId="0" xfId="0" applyFill="1" applyAlignment="1" applyProtection="1"/>
    <xf numFmtId="0" fontId="3" fillId="2" borderId="2"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5" fillId="2" borderId="0" xfId="0" applyFont="1" applyFill="1" applyAlignment="1" applyProtection="1">
      <alignment horizontal="center"/>
    </xf>
    <xf numFmtId="0" fontId="5" fillId="2" borderId="0" xfId="0" applyFont="1" applyFill="1" applyAlignment="1" applyProtection="1"/>
    <xf numFmtId="0" fontId="0" fillId="2" borderId="3" xfId="0" applyFill="1" applyBorder="1" applyProtection="1"/>
    <xf numFmtId="0" fontId="0" fillId="2" borderId="0" xfId="0" applyFill="1" applyProtection="1"/>
    <xf numFmtId="0" fontId="23" fillId="0" borderId="0" xfId="0" applyFont="1" applyProtection="1"/>
    <xf numFmtId="0" fontId="23" fillId="0" borderId="0" xfId="0" applyFont="1" applyBorder="1" applyProtection="1"/>
    <xf numFmtId="167" fontId="23" fillId="0" borderId="2" xfId="2" applyNumberFormat="1" applyFont="1" applyFill="1" applyBorder="1" applyAlignment="1" applyProtection="1">
      <alignment vertical="top"/>
    </xf>
    <xf numFmtId="167" fontId="23" fillId="0" borderId="0" xfId="2" applyNumberFormat="1" applyFont="1" applyFill="1" applyBorder="1" applyAlignment="1" applyProtection="1">
      <alignment vertical="top"/>
    </xf>
    <xf numFmtId="167" fontId="23" fillId="0" borderId="0" xfId="2" quotePrefix="1" applyNumberFormat="1" applyFont="1" applyFill="1" applyBorder="1" applyAlignment="1" applyProtection="1">
      <alignment vertical="top"/>
    </xf>
    <xf numFmtId="168" fontId="23" fillId="0" borderId="0" xfId="0" applyNumberFormat="1" applyFont="1" applyFill="1" applyAlignment="1" applyProtection="1">
      <alignment vertical="top"/>
    </xf>
    <xf numFmtId="168" fontId="23" fillId="0" borderId="0" xfId="0" quotePrefix="1" applyNumberFormat="1" applyFont="1" applyFill="1" applyAlignment="1" applyProtection="1">
      <alignment vertical="top"/>
    </xf>
    <xf numFmtId="167" fontId="23" fillId="0" borderId="0" xfId="2" applyNumberFormat="1" applyFont="1" applyFill="1" applyBorder="1" applyProtection="1"/>
    <xf numFmtId="168" fontId="23" fillId="0" borderId="0" xfId="0" quotePrefix="1" applyNumberFormat="1" applyFont="1" applyFill="1" applyProtection="1"/>
    <xf numFmtId="0" fontId="22" fillId="0" borderId="0" xfId="0" quotePrefix="1" applyFont="1" applyFill="1" applyProtection="1"/>
    <xf numFmtId="0" fontId="23" fillId="0" borderId="0" xfId="0" applyFont="1" applyFill="1" applyProtection="1"/>
    <xf numFmtId="167" fontId="28" fillId="0" borderId="0" xfId="2" applyNumberFormat="1" applyFont="1" applyProtection="1"/>
    <xf numFmtId="168" fontId="28" fillId="0" borderId="0" xfId="0" applyNumberFormat="1" applyFont="1" applyFill="1" applyBorder="1" applyProtection="1">
      <protection locked="0"/>
    </xf>
    <xf numFmtId="164" fontId="28" fillId="2" borderId="0" xfId="0" applyNumberFormat="1" applyFont="1" applyFill="1" applyProtection="1"/>
    <xf numFmtId="167" fontId="28" fillId="0" borderId="0" xfId="2" applyNumberFormat="1" applyFont="1" applyAlignment="1" applyProtection="1"/>
    <xf numFmtId="167" fontId="28" fillId="0" borderId="0" xfId="0" applyNumberFormat="1" applyFont="1" applyAlignment="1" applyProtection="1"/>
    <xf numFmtId="0" fontId="28" fillId="0" borderId="0" xfId="0" applyFont="1" applyAlignment="1" applyProtection="1">
      <alignment horizontal="center"/>
    </xf>
    <xf numFmtId="164" fontId="28" fillId="0" borderId="0" xfId="2" applyNumberFormat="1" applyFont="1" applyFill="1" applyAlignment="1" applyProtection="1">
      <alignment vertical="top"/>
    </xf>
    <xf numFmtId="0" fontId="28" fillId="0" borderId="0" xfId="0" applyFont="1" applyFill="1" applyAlignment="1" applyProtection="1">
      <alignment vertical="top"/>
    </xf>
    <xf numFmtId="164" fontId="28" fillId="0" borderId="0" xfId="0" applyNumberFormat="1" applyFont="1" applyFill="1" applyAlignment="1" applyProtection="1">
      <alignment vertical="top"/>
    </xf>
    <xf numFmtId="0" fontId="28" fillId="0" borderId="0" xfId="0" applyFont="1" applyAlignment="1" applyProtection="1">
      <alignment vertical="top"/>
    </xf>
    <xf numFmtId="164" fontId="28" fillId="0" borderId="0" xfId="2" applyNumberFormat="1" applyFont="1" applyFill="1" applyProtection="1"/>
    <xf numFmtId="0" fontId="35" fillId="2" borderId="0" xfId="3" applyFont="1" applyFill="1" applyBorder="1" applyAlignment="1" applyProtection="1"/>
    <xf numFmtId="0" fontId="15" fillId="2" borderId="0" xfId="0" applyFont="1" applyFill="1" applyBorder="1" applyAlignment="1" applyProtection="1"/>
    <xf numFmtId="0" fontId="38" fillId="2" borderId="0" xfId="0" applyFont="1" applyFill="1" applyBorder="1" applyProtection="1"/>
    <xf numFmtId="0" fontId="39" fillId="2" borderId="0" xfId="0" applyFont="1" applyFill="1" applyBorder="1" applyProtection="1"/>
    <xf numFmtId="0" fontId="39" fillId="2" borderId="0" xfId="0" applyFont="1" applyFill="1" applyBorder="1" applyProtection="1">
      <protection locked="0"/>
    </xf>
    <xf numFmtId="0" fontId="40" fillId="2" borderId="0" xfId="0" applyFont="1" applyFill="1" applyBorder="1" applyAlignment="1" applyProtection="1">
      <protection locked="0"/>
    </xf>
    <xf numFmtId="0" fontId="40" fillId="2" borderId="0" xfId="0" applyFont="1" applyFill="1" applyBorder="1" applyAlignment="1" applyProtection="1">
      <alignment horizontal="left"/>
      <protection locked="0"/>
    </xf>
    <xf numFmtId="0" fontId="39" fillId="2" borderId="0" xfId="0" applyFont="1" applyFill="1" applyBorder="1" applyAlignment="1" applyProtection="1"/>
    <xf numFmtId="0" fontId="39" fillId="2" borderId="0" xfId="0" applyFont="1" applyFill="1" applyBorder="1" applyAlignment="1" applyProtection="1">
      <alignment horizontal="left"/>
    </xf>
    <xf numFmtId="0" fontId="40" fillId="2" borderId="0" xfId="0" applyFont="1" applyFill="1" applyBorder="1" applyProtection="1">
      <protection locked="0"/>
    </xf>
    <xf numFmtId="0" fontId="38" fillId="0" borderId="0" xfId="0" applyFont="1" applyProtection="1"/>
    <xf numFmtId="167" fontId="0" fillId="0" borderId="0" xfId="2" applyNumberFormat="1" applyFont="1" applyFill="1" applyAlignment="1" applyProtection="1">
      <alignment vertical="top"/>
      <protection locked="0"/>
    </xf>
    <xf numFmtId="168" fontId="0" fillId="0" borderId="0" xfId="0" applyNumberFormat="1" applyFill="1" applyProtection="1">
      <protection locked="0"/>
    </xf>
    <xf numFmtId="167" fontId="0" fillId="0" borderId="6" xfId="2" applyNumberFormat="1" applyFont="1" applyBorder="1" applyAlignment="1" applyProtection="1"/>
    <xf numFmtId="164" fontId="7" fillId="0" borderId="0" xfId="0" applyNumberFormat="1" applyFont="1" applyFill="1" applyBorder="1" applyAlignment="1" applyProtection="1"/>
    <xf numFmtId="0" fontId="3" fillId="0" borderId="0" xfId="0" applyFont="1" applyAlignment="1" applyProtection="1">
      <alignment horizontal="center" vertical="top"/>
    </xf>
    <xf numFmtId="168" fontId="0" fillId="0" borderId="0" xfId="0" applyNumberFormat="1" applyFill="1" applyBorder="1" applyProtection="1">
      <protection locked="0"/>
    </xf>
    <xf numFmtId="0" fontId="17" fillId="0" borderId="0" xfId="0" quotePrefix="1" applyFont="1" applyAlignment="1" applyProtection="1">
      <alignment wrapText="1"/>
    </xf>
    <xf numFmtId="10" fontId="0" fillId="0" borderId="0" xfId="0" applyNumberFormat="1" applyFill="1" applyAlignment="1" applyProtection="1">
      <alignment vertical="top"/>
      <protection locked="0"/>
    </xf>
    <xf numFmtId="167" fontId="0" fillId="4" borderId="0" xfId="2" applyNumberFormat="1" applyFont="1" applyFill="1" applyAlignment="1" applyProtection="1">
      <alignment vertical="top"/>
      <protection locked="0"/>
    </xf>
    <xf numFmtId="10" fontId="0" fillId="4" borderId="0" xfId="5" applyNumberFormat="1" applyFont="1" applyFill="1" applyAlignment="1" applyProtection="1">
      <alignment vertical="top"/>
      <protection locked="0"/>
    </xf>
    <xf numFmtId="165" fontId="0" fillId="4" borderId="0" xfId="0" applyNumberFormat="1" applyFill="1" applyAlignment="1" applyProtection="1">
      <alignment vertical="top"/>
      <protection locked="0"/>
    </xf>
    <xf numFmtId="165" fontId="0" fillId="4" borderId="0" xfId="0" applyNumberFormat="1" applyFill="1" applyBorder="1" applyAlignment="1" applyProtection="1">
      <alignment vertical="top"/>
      <protection locked="0"/>
    </xf>
    <xf numFmtId="10" fontId="0" fillId="4" borderId="0" xfId="0" applyNumberFormat="1" applyFill="1" applyAlignment="1" applyProtection="1">
      <alignment vertical="top"/>
      <protection locked="0"/>
    </xf>
    <xf numFmtId="0" fontId="3" fillId="4" borderId="0" xfId="0" quotePrefix="1" applyFont="1" applyFill="1" applyAlignment="1" applyProtection="1">
      <alignment vertical="top"/>
      <protection locked="0"/>
    </xf>
    <xf numFmtId="168" fontId="0" fillId="4" borderId="0" xfId="0" applyNumberFormat="1" applyFill="1" applyAlignment="1" applyProtection="1">
      <alignment vertical="top"/>
      <protection locked="0"/>
    </xf>
    <xf numFmtId="168" fontId="0" fillId="4" borderId="0" xfId="0" applyNumberFormat="1" applyFill="1" applyProtection="1">
      <protection locked="0"/>
    </xf>
    <xf numFmtId="168" fontId="0" fillId="4" borderId="14" xfId="0" applyNumberFormat="1" applyFill="1" applyBorder="1" applyAlignment="1" applyProtection="1">
      <protection locked="0"/>
    </xf>
    <xf numFmtId="168" fontId="0" fillId="4" borderId="0" xfId="0" applyNumberFormat="1" applyFill="1" applyBorder="1" applyProtection="1">
      <protection locked="0"/>
    </xf>
    <xf numFmtId="0" fontId="3" fillId="4" borderId="0" xfId="0" applyFont="1" applyFill="1" applyAlignment="1" applyProtection="1">
      <alignment vertical="top"/>
    </xf>
    <xf numFmtId="0" fontId="0" fillId="4" borderId="0" xfId="0" applyFill="1" applyAlignment="1" applyProtection="1">
      <alignment wrapText="1"/>
      <protection locked="0"/>
    </xf>
    <xf numFmtId="0" fontId="3" fillId="4" borderId="0" xfId="0" applyFont="1" applyFill="1" applyProtection="1">
      <protection locked="0"/>
    </xf>
    <xf numFmtId="0" fontId="42" fillId="0" borderId="0" xfId="0" applyFont="1" applyProtection="1"/>
    <xf numFmtId="2" fontId="41" fillId="0" borderId="0" xfId="0" applyNumberFormat="1" applyFont="1" applyAlignment="1" applyProtection="1">
      <alignment horizontal="left"/>
    </xf>
    <xf numFmtId="0" fontId="29" fillId="0" borderId="0" xfId="0" applyFont="1" applyFill="1" applyBorder="1" applyProtection="1"/>
    <xf numFmtId="0" fontId="33" fillId="0" borderId="0" xfId="0" applyFont="1" applyFill="1" applyBorder="1" applyProtection="1"/>
    <xf numFmtId="0" fontId="43" fillId="0" borderId="0" xfId="0" applyFont="1" applyAlignment="1" applyProtection="1">
      <alignment horizontal="right" vertical="center"/>
    </xf>
    <xf numFmtId="0" fontId="0" fillId="0" borderId="0" xfId="0" applyAlignment="1" applyProtection="1">
      <alignment horizontal="right" vertical="center"/>
    </xf>
    <xf numFmtId="0" fontId="43" fillId="0" borderId="0" xfId="0" applyFont="1" applyAlignment="1" applyProtection="1">
      <alignment horizontal="right" vertical="center" indent="1"/>
    </xf>
    <xf numFmtId="0" fontId="44" fillId="0" borderId="0" xfId="0" applyFont="1" applyProtection="1"/>
    <xf numFmtId="0" fontId="44" fillId="0" borderId="0" xfId="0" applyFont="1" applyAlignment="1" applyProtection="1">
      <alignment horizontal="right" vertical="center"/>
    </xf>
    <xf numFmtId="0" fontId="15" fillId="0" borderId="0" xfId="0" applyFont="1" applyProtection="1"/>
    <xf numFmtId="0" fontId="15" fillId="0" borderId="0" xfId="0" applyFont="1" applyAlignment="1" applyProtection="1">
      <alignment vertical="center"/>
    </xf>
    <xf numFmtId="0" fontId="15" fillId="0" borderId="0" xfId="0" applyFont="1" applyFill="1" applyBorder="1" applyProtection="1"/>
    <xf numFmtId="0" fontId="15" fillId="0" borderId="0" xfId="0" applyFont="1" applyFill="1" applyAlignment="1" applyProtection="1">
      <alignment horizontal="left"/>
    </xf>
    <xf numFmtId="0" fontId="7" fillId="0" borderId="0" xfId="0" applyFont="1" applyAlignment="1" applyProtection="1">
      <alignment horizontal="left" indent="1"/>
    </xf>
    <xf numFmtId="167" fontId="0" fillId="0" borderId="3" xfId="2" applyNumberFormat="1" applyFont="1" applyBorder="1" applyAlignment="1" applyProtection="1"/>
    <xf numFmtId="167" fontId="0" fillId="0" borderId="4" xfId="2" applyNumberFormat="1" applyFont="1" applyBorder="1" applyAlignment="1" applyProtection="1"/>
    <xf numFmtId="0" fontId="3" fillId="0" borderId="2" xfId="0" applyFont="1" applyBorder="1" applyAlignment="1" applyProtection="1">
      <alignment horizontal="center" wrapText="1"/>
    </xf>
    <xf numFmtId="168" fontId="7" fillId="4" borderId="0" xfId="0" applyNumberFormat="1" applyFont="1" applyFill="1" applyAlignment="1" applyProtection="1">
      <alignment vertical="top"/>
      <protection locked="0"/>
    </xf>
    <xf numFmtId="0" fontId="22" fillId="0" borderId="0" xfId="0" applyFont="1" applyAlignment="1" applyProtection="1">
      <alignment horizontal="center" vertical="top"/>
    </xf>
    <xf numFmtId="0" fontId="3" fillId="0" borderId="0" xfId="0" applyFont="1" applyAlignment="1" applyProtection="1">
      <alignment horizontal="center"/>
    </xf>
    <xf numFmtId="0" fontId="37" fillId="0" borderId="0" xfId="0" applyFont="1" applyAlignment="1" applyProtection="1">
      <alignment horizontal="center" vertical="top"/>
    </xf>
    <xf numFmtId="0" fontId="0" fillId="0" borderId="20" xfId="0" applyBorder="1"/>
    <xf numFmtId="0" fontId="0" fillId="0" borderId="0" xfId="0" applyBorder="1"/>
    <xf numFmtId="0" fontId="0" fillId="0" borderId="21" xfId="0" applyBorder="1"/>
    <xf numFmtId="166" fontId="0" fillId="0" borderId="21" xfId="2" applyNumberFormat="1" applyFont="1" applyBorder="1"/>
    <xf numFmtId="166" fontId="0" fillId="0" borderId="21" xfId="0" applyNumberFormat="1" applyBorder="1"/>
    <xf numFmtId="166" fontId="0" fillId="0" borderId="20" xfId="2" applyNumberFormat="1" applyFont="1" applyBorder="1"/>
    <xf numFmtId="166" fontId="0" fillId="0" borderId="20" xfId="0" applyNumberFormat="1" applyBorder="1"/>
    <xf numFmtId="0" fontId="0" fillId="0" borderId="24" xfId="0" applyBorder="1"/>
    <xf numFmtId="166" fontId="0" fillId="0" borderId="24" xfId="2" applyNumberFormat="1" applyFont="1" applyBorder="1"/>
    <xf numFmtId="166" fontId="0" fillId="0" borderId="24" xfId="0" applyNumberFormat="1" applyBorder="1"/>
    <xf numFmtId="10" fontId="0" fillId="0" borderId="24" xfId="5" applyNumberFormat="1" applyFont="1" applyBorder="1"/>
    <xf numFmtId="10" fontId="0" fillId="0" borderId="24" xfId="0" applyNumberFormat="1" applyBorder="1"/>
    <xf numFmtId="0" fontId="0" fillId="0" borderId="26" xfId="0" applyBorder="1"/>
    <xf numFmtId="0" fontId="0" fillId="0" borderId="27" xfId="0" applyBorder="1"/>
    <xf numFmtId="0" fontId="3" fillId="0" borderId="27" xfId="0" applyFont="1" applyBorder="1" applyAlignment="1">
      <alignment vertical="top" wrapText="1"/>
    </xf>
    <xf numFmtId="0" fontId="1" fillId="0" borderId="27" xfId="0" applyFont="1" applyBorder="1" applyAlignment="1">
      <alignment vertical="top" wrapText="1"/>
    </xf>
    <xf numFmtId="0" fontId="5" fillId="0" borderId="4" xfId="0" applyFont="1" applyBorder="1"/>
    <xf numFmtId="0" fontId="0" fillId="0" borderId="4" xfId="0" applyBorder="1"/>
    <xf numFmtId="166" fontId="0" fillId="0" borderId="27" xfId="2" applyNumberFormat="1" applyFont="1" applyBorder="1"/>
    <xf numFmtId="166" fontId="0" fillId="0" borderId="27" xfId="0" applyNumberFormat="1" applyBorder="1"/>
    <xf numFmtId="0" fontId="3" fillId="0" borderId="29" xfId="0" applyFont="1" applyBorder="1" applyAlignment="1">
      <alignment vertical="top"/>
    </xf>
    <xf numFmtId="0" fontId="3" fillId="0" borderId="30" xfId="0" applyFont="1" applyBorder="1" applyAlignment="1">
      <alignment horizontal="center" vertical="top" wrapText="1"/>
    </xf>
    <xf numFmtId="0" fontId="3" fillId="0" borderId="31" xfId="0" applyFont="1" applyBorder="1" applyAlignment="1">
      <alignment horizontal="center" vertical="top" wrapText="1"/>
    </xf>
    <xf numFmtId="0" fontId="0" fillId="0" borderId="32" xfId="0" quotePrefix="1" applyFill="1" applyBorder="1" applyAlignment="1">
      <alignment vertical="top" wrapText="1"/>
    </xf>
    <xf numFmtId="0" fontId="0" fillId="0" borderId="32" xfId="0" applyBorder="1"/>
    <xf numFmtId="0" fontId="3" fillId="0" borderId="36" xfId="0" applyFont="1" applyBorder="1" applyAlignment="1">
      <alignment horizontal="center" vertical="top" wrapText="1"/>
    </xf>
    <xf numFmtId="0" fontId="3" fillId="0" borderId="23" xfId="0" applyFont="1" applyBorder="1" applyAlignment="1">
      <alignment horizontal="center" vertical="top" wrapText="1"/>
    </xf>
    <xf numFmtId="0" fontId="0" fillId="0" borderId="37" xfId="0" applyBorder="1"/>
    <xf numFmtId="0" fontId="3" fillId="0" borderId="22" xfId="0" applyFont="1" applyBorder="1" applyAlignment="1">
      <alignment horizontal="center" vertical="top" wrapText="1"/>
    </xf>
    <xf numFmtId="0" fontId="0" fillId="0" borderId="38" xfId="0" applyBorder="1"/>
    <xf numFmtId="0" fontId="3" fillId="0" borderId="25" xfId="0" applyFont="1" applyBorder="1" applyAlignment="1">
      <alignment horizontal="center" vertical="top" wrapText="1"/>
    </xf>
    <xf numFmtId="0" fontId="0" fillId="0" borderId="39" xfId="0" applyBorder="1"/>
    <xf numFmtId="0" fontId="3" fillId="0" borderId="28" xfId="0" applyFont="1" applyBorder="1" applyAlignment="1">
      <alignment vertical="top" wrapText="1"/>
    </xf>
    <xf numFmtId="0" fontId="0" fillId="0" borderId="0" xfId="0" applyFill="1"/>
    <xf numFmtId="0" fontId="0" fillId="0" borderId="0" xfId="0" applyFill="1" applyBorder="1"/>
    <xf numFmtId="0" fontId="0" fillId="0" borderId="40" xfId="0" applyBorder="1"/>
    <xf numFmtId="0" fontId="15" fillId="0" borderId="0" xfId="0" applyFont="1"/>
    <xf numFmtId="0" fontId="47" fillId="0" borderId="0" xfId="0" applyFont="1" applyFill="1"/>
    <xf numFmtId="0" fontId="47" fillId="0" borderId="0" xfId="0" applyFont="1" applyFill="1" applyAlignment="1">
      <alignment vertical="top" wrapText="1"/>
    </xf>
    <xf numFmtId="0" fontId="1" fillId="7" borderId="32" xfId="0" applyFont="1" applyFill="1" applyBorder="1" applyAlignment="1" applyProtection="1">
      <alignment vertical="top" wrapText="1"/>
      <protection locked="0"/>
    </xf>
    <xf numFmtId="166" fontId="0" fillId="7" borderId="20" xfId="2" applyNumberFormat="1" applyFont="1" applyFill="1" applyBorder="1" applyAlignment="1" applyProtection="1">
      <alignment vertical="top"/>
      <protection locked="0"/>
    </xf>
    <xf numFmtId="10" fontId="0" fillId="7" borderId="24" xfId="5" applyNumberFormat="1" applyFont="1" applyFill="1" applyBorder="1" applyAlignment="1" applyProtection="1">
      <alignment vertical="top"/>
      <protection locked="0"/>
    </xf>
    <xf numFmtId="166" fontId="0" fillId="7" borderId="21" xfId="0" applyNumberFormat="1" applyFill="1" applyBorder="1" applyAlignment="1" applyProtection="1">
      <alignment vertical="top"/>
      <protection locked="0"/>
    </xf>
    <xf numFmtId="166" fontId="0" fillId="7" borderId="24" xfId="0" applyNumberFormat="1" applyFill="1" applyBorder="1" applyAlignment="1" applyProtection="1">
      <alignment vertical="top"/>
      <protection locked="0"/>
    </xf>
    <xf numFmtId="166" fontId="0" fillId="7" borderId="21" xfId="2" applyNumberFormat="1" applyFont="1" applyFill="1" applyBorder="1" applyAlignment="1" applyProtection="1">
      <alignment vertical="top"/>
      <protection locked="0"/>
    </xf>
    <xf numFmtId="166" fontId="0" fillId="7" borderId="27" xfId="2" applyNumberFormat="1" applyFont="1" applyFill="1" applyBorder="1" applyAlignment="1" applyProtection="1">
      <alignment vertical="top"/>
      <protection locked="0"/>
    </xf>
    <xf numFmtId="0" fontId="26" fillId="0" borderId="0" xfId="4" applyFont="1" applyBorder="1"/>
    <xf numFmtId="167" fontId="0" fillId="0" borderId="0" xfId="2" applyNumberFormat="1" applyFont="1" applyFill="1" applyBorder="1" applyAlignment="1" applyProtection="1">
      <alignment horizontal="right"/>
    </xf>
    <xf numFmtId="0" fontId="17" fillId="0" borderId="41" xfId="0" applyFont="1" applyBorder="1" applyAlignment="1" applyProtection="1">
      <alignment wrapText="1"/>
    </xf>
    <xf numFmtId="0" fontId="0" fillId="0" borderId="42" xfId="0" applyBorder="1" applyProtection="1"/>
    <xf numFmtId="167" fontId="3" fillId="0" borderId="42" xfId="2" applyNumberFormat="1" applyFont="1" applyFill="1" applyBorder="1" applyAlignment="1" applyProtection="1">
      <alignment horizontal="center" vertical="center"/>
    </xf>
    <xf numFmtId="167" fontId="0" fillId="0" borderId="42" xfId="2" applyNumberFormat="1" applyFont="1" applyFill="1" applyBorder="1" applyAlignment="1" applyProtection="1">
      <alignment horizontal="right"/>
    </xf>
    <xf numFmtId="164" fontId="3" fillId="2" borderId="42" xfId="0" quotePrefix="1" applyNumberFormat="1" applyFont="1" applyFill="1" applyBorder="1" applyAlignment="1" applyProtection="1">
      <alignment horizontal="right"/>
    </xf>
    <xf numFmtId="167" fontId="0" fillId="0" borderId="42" xfId="0" applyNumberFormat="1" applyFill="1" applyBorder="1" applyAlignment="1" applyProtection="1">
      <alignment horizontal="right"/>
    </xf>
    <xf numFmtId="0" fontId="17" fillId="0" borderId="43" xfId="0" applyFont="1" applyBorder="1" applyAlignment="1" applyProtection="1">
      <alignment wrapText="1"/>
    </xf>
    <xf numFmtId="0" fontId="3" fillId="2" borderId="20" xfId="0" quotePrefix="1" applyFont="1" applyFill="1" applyBorder="1" applyProtection="1"/>
    <xf numFmtId="0" fontId="17" fillId="0" borderId="44" xfId="0" applyFont="1" applyBorder="1" applyAlignment="1" applyProtection="1">
      <alignment wrapText="1"/>
    </xf>
    <xf numFmtId="0" fontId="0" fillId="0" borderId="19" xfId="0" applyBorder="1" applyProtection="1"/>
    <xf numFmtId="167" fontId="0" fillId="0" borderId="19" xfId="2" applyNumberFormat="1" applyFont="1" applyFill="1" applyBorder="1" applyAlignment="1" applyProtection="1">
      <alignment horizontal="right"/>
    </xf>
    <xf numFmtId="164" fontId="3" fillId="2" borderId="19" xfId="0" quotePrefix="1" applyNumberFormat="1" applyFont="1" applyFill="1" applyBorder="1" applyAlignment="1" applyProtection="1">
      <alignment horizontal="right"/>
    </xf>
    <xf numFmtId="167" fontId="0" fillId="0" borderId="19" xfId="0" applyNumberFormat="1" applyFill="1" applyBorder="1" applyAlignment="1" applyProtection="1">
      <alignment horizontal="right"/>
    </xf>
    <xf numFmtId="0" fontId="10" fillId="0" borderId="0" xfId="0" applyFont="1" applyBorder="1" applyAlignment="1" applyProtection="1">
      <alignment horizontal="left"/>
    </xf>
    <xf numFmtId="0" fontId="3" fillId="0" borderId="0" xfId="0" applyFont="1"/>
    <xf numFmtId="0" fontId="1" fillId="0" borderId="0" xfId="0" applyFont="1"/>
    <xf numFmtId="0" fontId="0" fillId="0" borderId="5" xfId="0" applyBorder="1"/>
    <xf numFmtId="0" fontId="0" fillId="0" borderId="1" xfId="0" applyBorder="1"/>
    <xf numFmtId="0" fontId="0" fillId="0" borderId="2" xfId="0" applyBorder="1"/>
    <xf numFmtId="0" fontId="3" fillId="0" borderId="5" xfId="0" applyFont="1" applyBorder="1" applyAlignment="1">
      <alignment horizontal="center" vertical="top" wrapText="1"/>
    </xf>
    <xf numFmtId="0" fontId="3" fillId="0" borderId="1" xfId="0" applyFont="1" applyBorder="1" applyAlignment="1">
      <alignment horizontal="center" vertical="top"/>
    </xf>
    <xf numFmtId="0" fontId="0" fillId="0" borderId="0" xfId="0" applyAlignment="1">
      <alignment horizontal="center" vertical="top"/>
    </xf>
    <xf numFmtId="0" fontId="0" fillId="0" borderId="5" xfId="0" applyBorder="1" applyAlignment="1">
      <alignment horizontal="center" vertical="top" wrapText="1"/>
    </xf>
    <xf numFmtId="0" fontId="0" fillId="0" borderId="0" xfId="0" applyBorder="1" applyAlignment="1">
      <alignment horizontal="center" vertical="top"/>
    </xf>
    <xf numFmtId="0" fontId="0" fillId="0" borderId="1" xfId="0" applyBorder="1" applyAlignment="1">
      <alignment horizontal="center" vertical="top"/>
    </xf>
    <xf numFmtId="0" fontId="3" fillId="0" borderId="0" xfId="0" applyFont="1" applyAlignment="1">
      <alignment horizontal="center" wrapText="1"/>
    </xf>
    <xf numFmtId="0" fontId="1" fillId="0" borderId="0" xfId="0" applyFont="1" applyAlignment="1">
      <alignment wrapText="1"/>
    </xf>
    <xf numFmtId="0" fontId="3" fillId="0" borderId="0" xfId="0" applyFont="1" applyAlignment="1">
      <alignment horizontal="center" vertical="top" wrapText="1"/>
    </xf>
    <xf numFmtId="169" fontId="0" fillId="4" borderId="5" xfId="1" applyNumberFormat="1" applyFont="1" applyFill="1" applyBorder="1" applyAlignment="1" applyProtection="1">
      <alignment vertical="top"/>
      <protection locked="0"/>
    </xf>
    <xf numFmtId="169" fontId="0" fillId="4" borderId="7" xfId="1" applyNumberFormat="1" applyFont="1" applyFill="1" applyBorder="1" applyAlignment="1" applyProtection="1">
      <alignment vertical="top"/>
      <protection locked="0"/>
    </xf>
    <xf numFmtId="169" fontId="0" fillId="4" borderId="0" xfId="1" applyNumberFormat="1" applyFont="1" applyFill="1" applyBorder="1" applyAlignment="1" applyProtection="1">
      <alignment vertical="top"/>
      <protection locked="0"/>
    </xf>
    <xf numFmtId="169" fontId="0" fillId="4" borderId="2" xfId="1" applyNumberFormat="1" applyFont="1" applyFill="1" applyBorder="1" applyAlignment="1" applyProtection="1">
      <alignment vertical="top"/>
      <protection locked="0"/>
    </xf>
    <xf numFmtId="169" fontId="0" fillId="4" borderId="1" xfId="1" applyNumberFormat="1" applyFont="1" applyFill="1" applyBorder="1" applyAlignment="1" applyProtection="1">
      <alignment vertical="top"/>
      <protection locked="0"/>
    </xf>
    <xf numFmtId="169" fontId="0" fillId="4" borderId="8" xfId="1" applyNumberFormat="1" applyFont="1" applyFill="1" applyBorder="1" applyAlignment="1" applyProtection="1">
      <alignment vertical="top"/>
      <protection locked="0"/>
    </xf>
    <xf numFmtId="44" fontId="0" fillId="0" borderId="0" xfId="0" applyNumberFormat="1"/>
    <xf numFmtId="0" fontId="52" fillId="0" borderId="0" xfId="0" applyFont="1"/>
    <xf numFmtId="166" fontId="0" fillId="0" borderId="0" xfId="2" applyNumberFormat="1" applyFont="1"/>
    <xf numFmtId="0" fontId="3" fillId="0" borderId="0" xfId="0" applyFont="1" applyAlignment="1">
      <alignment wrapText="1"/>
    </xf>
    <xf numFmtId="0" fontId="3" fillId="0" borderId="46" xfId="0" applyFont="1" applyBorder="1"/>
    <xf numFmtId="0" fontId="3" fillId="0" borderId="47" xfId="0" applyFont="1" applyBorder="1"/>
    <xf numFmtId="0" fontId="0" fillId="0" borderId="47" xfId="0" applyBorder="1"/>
    <xf numFmtId="0" fontId="3" fillId="0" borderId="49" xfId="0" applyFont="1" applyBorder="1" applyAlignment="1">
      <alignment horizontal="center" vertical="top"/>
    </xf>
    <xf numFmtId="0" fontId="0" fillId="0" borderId="50" xfId="0" applyBorder="1"/>
    <xf numFmtId="167" fontId="0" fillId="4" borderId="50" xfId="2" applyNumberFormat="1" applyFont="1" applyFill="1" applyBorder="1" applyAlignment="1" applyProtection="1">
      <alignment vertical="top"/>
      <protection locked="0"/>
    </xf>
    <xf numFmtId="167" fontId="0" fillId="4" borderId="51" xfId="2" applyNumberFormat="1" applyFont="1" applyFill="1" applyBorder="1" applyAlignment="1" applyProtection="1">
      <alignment vertical="top"/>
      <protection locked="0"/>
    </xf>
    <xf numFmtId="0" fontId="48" fillId="0" borderId="0" xfId="0" quotePrefix="1" applyFont="1"/>
    <xf numFmtId="164" fontId="48" fillId="0" borderId="2" xfId="0" quotePrefix="1" applyNumberFormat="1" applyFont="1" applyBorder="1" applyAlignment="1" applyProtection="1">
      <alignment vertical="top"/>
    </xf>
    <xf numFmtId="0" fontId="48" fillId="0" borderId="0" xfId="0" quotePrefix="1" applyFont="1" applyProtection="1"/>
    <xf numFmtId="164" fontId="48" fillId="2" borderId="0" xfId="0" quotePrefix="1" applyNumberFormat="1" applyFont="1" applyFill="1" applyBorder="1" applyAlignment="1" applyProtection="1">
      <alignment horizontal="right"/>
    </xf>
    <xf numFmtId="0" fontId="48" fillId="2" borderId="0" xfId="0" quotePrefix="1" applyFont="1" applyFill="1" applyProtection="1"/>
    <xf numFmtId="0" fontId="48" fillId="0" borderId="0" xfId="0" quotePrefix="1" applyFont="1" applyAlignment="1" applyProtection="1">
      <alignment vertical="top"/>
    </xf>
    <xf numFmtId="168" fontId="48" fillId="0" borderId="0" xfId="0" quotePrefix="1" applyNumberFormat="1" applyFont="1" applyFill="1" applyAlignment="1" applyProtection="1">
      <alignment horizontal="center" vertical="top" wrapText="1"/>
    </xf>
    <xf numFmtId="0" fontId="57" fillId="0" borderId="0" xfId="0" quotePrefix="1" applyFont="1" applyProtection="1"/>
    <xf numFmtId="49" fontId="48" fillId="0" borderId="0" xfId="0" applyNumberFormat="1" applyFont="1" applyBorder="1" applyProtection="1"/>
    <xf numFmtId="0" fontId="48" fillId="0" borderId="0" xfId="0" quotePrefix="1" applyFont="1" applyAlignment="1" applyProtection="1">
      <alignment horizontal="right" vertical="top"/>
    </xf>
    <xf numFmtId="0" fontId="48" fillId="0" borderId="0" xfId="0" quotePrefix="1" applyFont="1" applyFill="1" applyAlignment="1" applyProtection="1">
      <alignment horizontal="right"/>
    </xf>
    <xf numFmtId="0" fontId="48" fillId="0" borderId="0" xfId="0" quotePrefix="1" applyFont="1" applyAlignment="1" applyProtection="1">
      <alignment horizontal="center" vertical="top"/>
    </xf>
    <xf numFmtId="0" fontId="0" fillId="0" borderId="41" xfId="0" quotePrefix="1" applyBorder="1" applyProtection="1"/>
    <xf numFmtId="167" fontId="0" fillId="0" borderId="42" xfId="2" applyNumberFormat="1" applyFont="1" applyFill="1" applyBorder="1" applyProtection="1"/>
    <xf numFmtId="168" fontId="0" fillId="4" borderId="42" xfId="0" applyNumberFormat="1" applyFill="1" applyBorder="1" applyProtection="1">
      <protection locked="0"/>
    </xf>
    <xf numFmtId="168" fontId="0" fillId="0" borderId="42" xfId="0" applyNumberFormat="1" applyFill="1" applyBorder="1" applyProtection="1"/>
    <xf numFmtId="0" fontId="0" fillId="0" borderId="23" xfId="0" applyBorder="1" applyProtection="1"/>
    <xf numFmtId="0" fontId="0" fillId="0" borderId="43" xfId="0" quotePrefix="1" applyBorder="1" applyProtection="1"/>
    <xf numFmtId="0" fontId="0" fillId="0" borderId="20" xfId="0" applyBorder="1" applyProtection="1"/>
    <xf numFmtId="0" fontId="19" fillId="0" borderId="43" xfId="0" applyFont="1" applyBorder="1" applyProtection="1"/>
    <xf numFmtId="0" fontId="0" fillId="0" borderId="44" xfId="0" applyBorder="1" applyProtection="1"/>
    <xf numFmtId="0" fontId="0" fillId="0" borderId="45" xfId="0" applyBorder="1" applyProtection="1"/>
    <xf numFmtId="0" fontId="0" fillId="0" borderId="19" xfId="0" applyBorder="1"/>
    <xf numFmtId="0" fontId="0" fillId="0" borderId="45" xfId="0" applyBorder="1"/>
    <xf numFmtId="44" fontId="0" fillId="0" borderId="20" xfId="0" applyNumberFormat="1" applyBorder="1"/>
    <xf numFmtId="44" fontId="0" fillId="0" borderId="20" xfId="2" applyFont="1" applyBorder="1"/>
    <xf numFmtId="0" fontId="0" fillId="0" borderId="44" xfId="0" applyBorder="1"/>
    <xf numFmtId="0" fontId="0" fillId="0" borderId="19" xfId="0" applyFill="1" applyBorder="1"/>
    <xf numFmtId="166" fontId="0" fillId="0" borderId="19" xfId="2" applyNumberFormat="1" applyFont="1" applyBorder="1"/>
    <xf numFmtId="0" fontId="0" fillId="0" borderId="23" xfId="0" applyBorder="1"/>
    <xf numFmtId="166" fontId="0" fillId="0" borderId="45" xfId="2" applyNumberFormat="1" applyFont="1" applyBorder="1"/>
    <xf numFmtId="0" fontId="0" fillId="0" borderId="42" xfId="0" applyBorder="1"/>
    <xf numFmtId="0" fontId="1" fillId="0" borderId="23" xfId="0" applyFont="1" applyBorder="1"/>
    <xf numFmtId="0" fontId="0" fillId="0" borderId="43" xfId="0" applyBorder="1"/>
    <xf numFmtId="44" fontId="0" fillId="0" borderId="43" xfId="2" applyFont="1" applyBorder="1"/>
    <xf numFmtId="44" fontId="0" fillId="0" borderId="44" xfId="2" applyFont="1" applyBorder="1"/>
    <xf numFmtId="0" fontId="3" fillId="0" borderId="20" xfId="0" applyFont="1" applyBorder="1" applyAlignment="1">
      <alignment wrapText="1"/>
    </xf>
    <xf numFmtId="0" fontId="3" fillId="0" borderId="19" xfId="0" quotePrefix="1" applyFont="1" applyBorder="1"/>
    <xf numFmtId="0" fontId="3" fillId="0" borderId="41" xfId="0" applyFont="1" applyBorder="1"/>
    <xf numFmtId="0" fontId="3" fillId="0" borderId="43" xfId="0" applyFont="1" applyBorder="1" applyAlignment="1">
      <alignment horizontal="center" vertical="center"/>
    </xf>
    <xf numFmtId="0" fontId="3" fillId="0" borderId="19" xfId="0" applyFont="1" applyBorder="1"/>
    <xf numFmtId="0" fontId="3" fillId="0" borderId="0" xfId="0" applyFont="1" applyBorder="1"/>
    <xf numFmtId="0" fontId="0" fillId="0" borderId="47" xfId="0" applyFill="1" applyBorder="1" applyAlignment="1">
      <alignment horizontal="center"/>
    </xf>
    <xf numFmtId="0" fontId="0" fillId="0" borderId="19" xfId="0" applyFill="1" applyBorder="1" applyAlignment="1">
      <alignment horizontal="center"/>
    </xf>
    <xf numFmtId="166" fontId="0" fillId="4" borderId="21" xfId="2" applyNumberFormat="1" applyFont="1" applyFill="1" applyBorder="1" applyAlignment="1" applyProtection="1">
      <alignment vertical="top"/>
      <protection locked="0"/>
    </xf>
    <xf numFmtId="0" fontId="1" fillId="0" borderId="0" xfId="0" applyFont="1" applyFill="1"/>
    <xf numFmtId="167" fontId="1" fillId="4" borderId="50" xfId="2" applyNumberFormat="1" applyFont="1" applyFill="1" applyBorder="1" applyAlignment="1" applyProtection="1">
      <alignment vertical="top"/>
      <protection locked="0"/>
    </xf>
    <xf numFmtId="0" fontId="1" fillId="0" borderId="0" xfId="0" quotePrefix="1" applyFont="1"/>
    <xf numFmtId="0" fontId="1" fillId="0" borderId="0" xfId="0" applyFont="1" applyFill="1" applyAlignment="1">
      <alignment horizontal="left" vertical="top" wrapText="1"/>
    </xf>
    <xf numFmtId="0" fontId="1" fillId="0" borderId="0" xfId="0" quotePrefix="1" applyFont="1" applyAlignment="1">
      <alignment vertical="top"/>
    </xf>
    <xf numFmtId="0" fontId="49" fillId="0" borderId="0" xfId="0" applyFont="1"/>
    <xf numFmtId="0" fontId="0" fillId="0" borderId="41" xfId="0" applyBorder="1"/>
    <xf numFmtId="0" fontId="3" fillId="0" borderId="42" xfId="0" applyFont="1" applyBorder="1" applyAlignment="1">
      <alignment vertical="top"/>
    </xf>
    <xf numFmtId="0" fontId="3" fillId="0" borderId="42" xfId="0" applyFont="1" applyBorder="1" applyAlignment="1">
      <alignment horizontal="center" vertical="top"/>
    </xf>
    <xf numFmtId="0" fontId="47" fillId="0" borderId="0" xfId="0" applyFont="1" applyBorder="1"/>
    <xf numFmtId="0" fontId="58" fillId="0" borderId="0" xfId="0" quotePrefix="1" applyFont="1" applyBorder="1" applyAlignment="1">
      <alignment horizontal="center" vertical="top" wrapText="1"/>
    </xf>
    <xf numFmtId="0" fontId="0" fillId="0" borderId="20" xfId="0" applyBorder="1" applyAlignment="1">
      <alignment horizontal="center" vertical="top"/>
    </xf>
    <xf numFmtId="0" fontId="3" fillId="0" borderId="0" xfId="0" applyFont="1" applyFill="1" applyBorder="1"/>
    <xf numFmtId="44" fontId="3" fillId="0" borderId="0" xfId="2" applyFont="1" applyBorder="1"/>
    <xf numFmtId="0" fontId="3" fillId="0" borderId="19" xfId="0" applyFont="1" applyFill="1" applyBorder="1" applyAlignment="1">
      <alignment wrapText="1"/>
    </xf>
    <xf numFmtId="44" fontId="3" fillId="0" borderId="19" xfId="2" applyFont="1" applyBorder="1" applyAlignment="1">
      <alignment vertical="top"/>
    </xf>
    <xf numFmtId="0" fontId="3" fillId="0" borderId="44" xfId="0" applyFont="1" applyFill="1" applyBorder="1"/>
    <xf numFmtId="166" fontId="0" fillId="0" borderId="19" xfId="0" applyNumberFormat="1" applyBorder="1"/>
    <xf numFmtId="166" fontId="3" fillId="0" borderId="19" xfId="2" applyNumberFormat="1" applyFont="1" applyBorder="1"/>
    <xf numFmtId="0" fontId="3" fillId="0" borderId="0" xfId="0" quotePrefix="1" applyFont="1" applyBorder="1" applyAlignment="1">
      <alignment horizontal="center" vertical="top"/>
    </xf>
    <xf numFmtId="0" fontId="0" fillId="0" borderId="53" xfId="0" applyFill="1" applyBorder="1"/>
    <xf numFmtId="0" fontId="58" fillId="0" borderId="0" xfId="0" quotePrefix="1" applyFont="1" applyBorder="1" applyAlignment="1">
      <alignment horizontal="center" vertical="center"/>
    </xf>
    <xf numFmtId="0" fontId="58" fillId="0" borderId="0" xfId="0" quotePrefix="1" applyFont="1" applyBorder="1" applyAlignment="1">
      <alignment horizontal="center" vertical="top"/>
    </xf>
    <xf numFmtId="0" fontId="0" fillId="0" borderId="53" xfId="0" applyBorder="1"/>
    <xf numFmtId="0" fontId="3" fillId="0" borderId="44" xfId="0" applyFont="1" applyBorder="1"/>
    <xf numFmtId="166" fontId="0" fillId="0" borderId="45" xfId="0" applyNumberFormat="1" applyBorder="1"/>
    <xf numFmtId="0" fontId="1" fillId="0" borderId="0" xfId="0" quotePrefix="1" applyFont="1" applyAlignment="1">
      <alignment horizontal="left" vertical="top"/>
    </xf>
    <xf numFmtId="0" fontId="49" fillId="0" borderId="0" xfId="0" quotePrefix="1" applyFont="1"/>
    <xf numFmtId="0" fontId="3" fillId="0" borderId="0" xfId="0" quotePrefix="1" applyFont="1" applyFill="1" applyBorder="1" applyAlignment="1">
      <alignment horizontal="center" vertical="top"/>
    </xf>
    <xf numFmtId="9" fontId="3" fillId="0" borderId="0" xfId="5" quotePrefix="1" applyFont="1" applyBorder="1" applyAlignment="1">
      <alignment horizontal="center" vertical="top"/>
    </xf>
    <xf numFmtId="0" fontId="21" fillId="2" borderId="0" xfId="0" applyFont="1" applyFill="1" applyBorder="1" applyAlignment="1" applyProtection="1">
      <alignment horizontal="left" vertical="center" wrapText="1"/>
    </xf>
    <xf numFmtId="0" fontId="3" fillId="0" borderId="43" xfId="0" applyFont="1" applyBorder="1" applyAlignment="1">
      <alignment horizontal="center" vertical="center" wrapText="1"/>
    </xf>
    <xf numFmtId="0" fontId="3" fillId="0" borderId="42" xfId="0" applyFont="1" applyBorder="1"/>
    <xf numFmtId="0" fontId="0" fillId="0" borderId="23" xfId="0" applyBorder="1" applyAlignment="1">
      <alignment horizontal="center" vertical="top"/>
    </xf>
    <xf numFmtId="0" fontId="0" fillId="0" borderId="45" xfId="0" applyBorder="1" applyAlignment="1">
      <alignment horizontal="center" vertical="top"/>
    </xf>
    <xf numFmtId="0" fontId="1" fillId="0" borderId="0" xfId="6" applyProtection="1">
      <protection locked="0"/>
    </xf>
    <xf numFmtId="0" fontId="1" fillId="0" borderId="0" xfId="6" applyFont="1" applyFill="1" applyAlignment="1" applyProtection="1">
      <alignment vertical="top" wrapText="1"/>
      <protection locked="0"/>
    </xf>
    <xf numFmtId="0" fontId="1" fillId="0" borderId="0" xfId="6" applyFont="1" applyFill="1" applyAlignment="1" applyProtection="1">
      <alignment horizontal="left" vertical="top" wrapText="1"/>
      <protection locked="0"/>
    </xf>
    <xf numFmtId="0" fontId="1" fillId="0" borderId="0" xfId="6" applyFill="1" applyAlignment="1" applyProtection="1">
      <alignment horizontal="left" vertical="top" wrapText="1"/>
      <protection locked="0"/>
    </xf>
    <xf numFmtId="0" fontId="15" fillId="0" borderId="0" xfId="6" applyFont="1" applyAlignment="1" applyProtection="1">
      <alignment wrapText="1"/>
      <protection locked="0"/>
    </xf>
    <xf numFmtId="166" fontId="0" fillId="0" borderId="43" xfId="2" applyNumberFormat="1" applyFont="1" applyBorder="1"/>
    <xf numFmtId="166" fontId="0" fillId="0" borderId="44" xfId="2" applyNumberFormat="1" applyFont="1" applyBorder="1"/>
    <xf numFmtId="43" fontId="0" fillId="0" borderId="0" xfId="1" applyFont="1" applyFill="1" applyBorder="1"/>
    <xf numFmtId="43" fontId="0" fillId="0" borderId="19" xfId="1" applyFont="1" applyFill="1" applyBorder="1"/>
    <xf numFmtId="0" fontId="1" fillId="0" borderId="0" xfId="6" applyFont="1" applyFill="1" applyAlignment="1" applyProtection="1">
      <alignment horizontal="left" vertical="top" wrapText="1"/>
      <protection locked="0"/>
    </xf>
    <xf numFmtId="170" fontId="0" fillId="0" borderId="0" xfId="2" applyNumberFormat="1" applyFont="1"/>
    <xf numFmtId="0" fontId="47" fillId="0" borderId="0" xfId="0" applyFont="1" applyFill="1" applyBorder="1" applyProtection="1"/>
    <xf numFmtId="10" fontId="0" fillId="0" borderId="42" xfId="5" applyNumberFormat="1" applyFont="1" applyBorder="1"/>
    <xf numFmtId="10" fontId="0" fillId="0" borderId="0" xfId="5" applyNumberFormat="1" applyFont="1" applyBorder="1"/>
    <xf numFmtId="10" fontId="0" fillId="0" borderId="4" xfId="5" applyNumberFormat="1" applyFont="1" applyBorder="1"/>
    <xf numFmtId="10" fontId="0" fillId="0" borderId="0" xfId="0" applyNumberFormat="1" applyBorder="1"/>
    <xf numFmtId="10" fontId="0" fillId="0" borderId="19" xfId="5" applyNumberFormat="1" applyFont="1" applyBorder="1"/>
    <xf numFmtId="10" fontId="0" fillId="0" borderId="23" xfId="5" applyNumberFormat="1" applyFont="1" applyBorder="1" applyAlignment="1">
      <alignment horizontal="center" vertical="top"/>
    </xf>
    <xf numFmtId="10" fontId="0" fillId="0" borderId="20" xfId="5" applyNumberFormat="1" applyFont="1" applyBorder="1" applyAlignment="1">
      <alignment horizontal="center" vertical="top"/>
    </xf>
    <xf numFmtId="10" fontId="0" fillId="0" borderId="54" xfId="5" applyNumberFormat="1" applyFont="1" applyBorder="1" applyAlignment="1">
      <alignment horizontal="center" vertical="top"/>
    </xf>
    <xf numFmtId="10" fontId="0" fillId="0" borderId="20" xfId="0" applyNumberFormat="1" applyBorder="1" applyAlignment="1">
      <alignment horizontal="center" vertical="top"/>
    </xf>
    <xf numFmtId="10" fontId="0" fillId="0" borderId="45" xfId="5" applyNumberFormat="1" applyFont="1" applyBorder="1" applyAlignment="1">
      <alignment horizontal="center" vertical="top"/>
    </xf>
    <xf numFmtId="0" fontId="56" fillId="0" borderId="0" xfId="0" applyFont="1" applyAlignment="1">
      <alignment horizontal="center" vertical="center"/>
    </xf>
    <xf numFmtId="44" fontId="1" fillId="11" borderId="62" xfId="2" applyFont="1" applyFill="1" applyBorder="1" applyAlignment="1" applyProtection="1">
      <alignment horizontal="right" vertical="top"/>
      <protection locked="0"/>
    </xf>
    <xf numFmtId="166" fontId="0" fillId="0" borderId="0" xfId="2" applyNumberFormat="1" applyFont="1" applyBorder="1"/>
    <xf numFmtId="10" fontId="0" fillId="0" borderId="20" xfId="5" applyNumberFormat="1" applyFont="1" applyBorder="1"/>
    <xf numFmtId="169" fontId="1" fillId="0" borderId="0" xfId="1" applyNumberFormat="1" applyFont="1"/>
    <xf numFmtId="169" fontId="0" fillId="0" borderId="0" xfId="1" applyNumberFormat="1" applyFont="1"/>
    <xf numFmtId="169" fontId="1" fillId="0" borderId="19" xfId="1" applyNumberFormat="1" applyFont="1" applyBorder="1"/>
    <xf numFmtId="169" fontId="0" fillId="0" borderId="19" xfId="1" applyNumberFormat="1" applyFont="1" applyBorder="1"/>
    <xf numFmtId="10" fontId="0" fillId="0" borderId="45" xfId="5" applyNumberFormat="1" applyFont="1" applyBorder="1"/>
    <xf numFmtId="166" fontId="0" fillId="4" borderId="52" xfId="2" applyNumberFormat="1" applyFont="1" applyFill="1" applyBorder="1" applyAlignment="1" applyProtection="1">
      <alignment vertical="top"/>
      <protection locked="0"/>
    </xf>
    <xf numFmtId="171" fontId="0" fillId="0" borderId="45" xfId="5" applyNumberFormat="1" applyFont="1" applyBorder="1"/>
    <xf numFmtId="166" fontId="0" fillId="0" borderId="79" xfId="0" applyNumberFormat="1" applyBorder="1"/>
    <xf numFmtId="169" fontId="3" fillId="0" borderId="0" xfId="0" applyNumberFormat="1" applyFont="1"/>
    <xf numFmtId="10" fontId="47" fillId="0" borderId="0" xfId="5" applyNumberFormat="1" applyFont="1" applyBorder="1" applyAlignment="1">
      <alignment horizontal="center" vertical="top"/>
    </xf>
    <xf numFmtId="10" fontId="47" fillId="0" borderId="19" xfId="5" applyNumberFormat="1" applyFont="1" applyBorder="1" applyAlignment="1">
      <alignment horizontal="center" vertical="top"/>
    </xf>
    <xf numFmtId="0" fontId="47" fillId="0" borderId="19" xfId="0" applyFont="1" applyBorder="1"/>
    <xf numFmtId="10" fontId="61" fillId="0" borderId="42" xfId="5" applyNumberFormat="1" applyFont="1" applyBorder="1" applyAlignment="1">
      <alignment horizontal="center" vertical="top"/>
    </xf>
    <xf numFmtId="0" fontId="61" fillId="0" borderId="42" xfId="0" applyFont="1" applyBorder="1"/>
    <xf numFmtId="0" fontId="1" fillId="0" borderId="0" xfId="0" applyFont="1" applyBorder="1" applyAlignment="1">
      <alignment horizontal="center" vertical="center"/>
    </xf>
    <xf numFmtId="10" fontId="47" fillId="0" borderId="0" xfId="5" applyNumberFormat="1" applyFont="1" applyFill="1" applyBorder="1" applyAlignment="1">
      <alignment horizontal="center" vertical="top"/>
    </xf>
    <xf numFmtId="0" fontId="59" fillId="0" borderId="0" xfId="0" applyFont="1" applyFill="1"/>
    <xf numFmtId="0" fontId="1" fillId="4" borderId="62" xfId="6" applyFont="1" applyFill="1" applyBorder="1" applyAlignment="1" applyProtection="1">
      <alignment horizontal="center" vertical="center"/>
      <protection locked="0"/>
    </xf>
    <xf numFmtId="0" fontId="62" fillId="0" borderId="20" xfId="0" applyFont="1" applyFill="1" applyBorder="1" applyAlignment="1">
      <alignment horizontal="center" vertical="center"/>
    </xf>
    <xf numFmtId="0" fontId="62" fillId="0" borderId="45" xfId="0" applyFont="1" applyFill="1" applyBorder="1" applyAlignment="1">
      <alignment horizontal="center" vertical="center"/>
    </xf>
    <xf numFmtId="0" fontId="56" fillId="0" borderId="0" xfId="0" applyFont="1"/>
    <xf numFmtId="0" fontId="62" fillId="0" borderId="0" xfId="0" applyFont="1" applyFill="1"/>
    <xf numFmtId="44" fontId="62" fillId="0" borderId="0" xfId="0" applyNumberFormat="1" applyFont="1" applyFill="1"/>
    <xf numFmtId="0" fontId="0" fillId="0" borderId="0" xfId="0" applyBorder="1" applyAlignment="1">
      <alignment horizontal="left" vertical="top" wrapText="1"/>
    </xf>
    <xf numFmtId="0" fontId="3" fillId="0" borderId="0" xfId="0" quotePrefix="1" applyFont="1" applyBorder="1"/>
    <xf numFmtId="171" fontId="0" fillId="0" borderId="0" xfId="5" applyNumberFormat="1" applyFont="1" applyBorder="1"/>
    <xf numFmtId="10" fontId="47" fillId="0" borderId="42" xfId="5" applyNumberFormat="1" applyFont="1" applyFill="1" applyBorder="1"/>
    <xf numFmtId="10" fontId="47" fillId="0" borderId="0" xfId="5" applyNumberFormat="1" applyFont="1" applyFill="1" applyBorder="1"/>
    <xf numFmtId="0" fontId="62" fillId="12" borderId="0" xfId="0" applyFont="1" applyFill="1"/>
    <xf numFmtId="0" fontId="56" fillId="0" borderId="0" xfId="0" applyFont="1" applyAlignment="1">
      <alignment horizontal="right" vertical="center"/>
    </xf>
    <xf numFmtId="167" fontId="0" fillId="0" borderId="19" xfId="2" applyNumberFormat="1" applyFont="1" applyFill="1" applyBorder="1" applyAlignment="1" applyProtection="1">
      <alignment horizontal="right"/>
    </xf>
    <xf numFmtId="167" fontId="1" fillId="0" borderId="50" xfId="2" applyNumberFormat="1" applyFont="1" applyFill="1" applyBorder="1" applyAlignment="1" applyProtection="1">
      <alignment vertical="top"/>
    </xf>
    <xf numFmtId="166" fontId="0" fillId="4" borderId="42" xfId="2" applyNumberFormat="1" applyFont="1" applyFill="1" applyBorder="1" applyProtection="1">
      <protection locked="0"/>
    </xf>
    <xf numFmtId="166" fontId="0" fillId="4" borderId="0" xfId="2" applyNumberFormat="1" applyFont="1" applyFill="1" applyBorder="1" applyProtection="1">
      <protection locked="0"/>
    </xf>
    <xf numFmtId="166" fontId="0" fillId="4" borderId="4" xfId="2" applyNumberFormat="1" applyFont="1" applyFill="1" applyBorder="1" applyProtection="1">
      <protection locked="0"/>
    </xf>
    <xf numFmtId="166" fontId="0" fillId="4" borderId="20" xfId="2" applyNumberFormat="1" applyFont="1" applyFill="1" applyBorder="1" applyProtection="1">
      <protection locked="0"/>
    </xf>
    <xf numFmtId="166" fontId="0" fillId="4" borderId="54" xfId="2" applyNumberFormat="1" applyFont="1" applyFill="1" applyBorder="1" applyProtection="1">
      <protection locked="0"/>
    </xf>
    <xf numFmtId="0" fontId="3" fillId="5" borderId="0" xfId="0" applyFont="1" applyFill="1" applyBorder="1" applyAlignment="1" applyProtection="1">
      <alignment horizontal="center" vertical="top"/>
      <protection locked="0"/>
    </xf>
    <xf numFmtId="10" fontId="0" fillId="4" borderId="0" xfId="5" applyNumberFormat="1" applyFont="1" applyFill="1" applyBorder="1" applyAlignment="1" applyProtection="1">
      <alignment horizontal="center" vertical="top"/>
      <protection locked="0"/>
    </xf>
    <xf numFmtId="10" fontId="0" fillId="4" borderId="19" xfId="5" applyNumberFormat="1" applyFont="1" applyFill="1" applyBorder="1" applyAlignment="1" applyProtection="1">
      <alignment horizontal="center" vertical="top"/>
      <protection locked="0"/>
    </xf>
    <xf numFmtId="10" fontId="47" fillId="4" borderId="42" xfId="0" applyNumberFormat="1" applyFont="1" applyFill="1" applyBorder="1" applyProtection="1">
      <protection locked="0"/>
    </xf>
    <xf numFmtId="10" fontId="47" fillId="4" borderId="0" xfId="0" applyNumberFormat="1" applyFont="1" applyFill="1" applyBorder="1" applyProtection="1">
      <protection locked="0"/>
    </xf>
    <xf numFmtId="10" fontId="47" fillId="4" borderId="19" xfId="0" applyNumberFormat="1" applyFont="1" applyFill="1" applyBorder="1" applyProtection="1">
      <protection locked="0"/>
    </xf>
    <xf numFmtId="10" fontId="47" fillId="4" borderId="42" xfId="5" applyNumberFormat="1" applyFont="1" applyFill="1" applyBorder="1" applyProtection="1">
      <protection locked="0"/>
    </xf>
    <xf numFmtId="10" fontId="47" fillId="4" borderId="0" xfId="5" applyNumberFormat="1" applyFont="1" applyFill="1" applyBorder="1" applyProtection="1">
      <protection locked="0"/>
    </xf>
    <xf numFmtId="10" fontId="47" fillId="4" borderId="19" xfId="5" applyNumberFormat="1" applyFont="1" applyFill="1" applyBorder="1" applyProtection="1">
      <protection locked="0"/>
    </xf>
    <xf numFmtId="0" fontId="1" fillId="0" borderId="0" xfId="6" applyProtection="1"/>
    <xf numFmtId="0" fontId="1" fillId="0" borderId="0" xfId="6" applyFont="1" applyProtection="1"/>
    <xf numFmtId="0" fontId="3" fillId="0" borderId="0" xfId="6" applyFont="1" applyAlignment="1" applyProtection="1">
      <alignment horizontal="center"/>
    </xf>
    <xf numFmtId="0" fontId="3" fillId="0" borderId="0" xfId="6" applyFont="1" applyProtection="1"/>
    <xf numFmtId="0" fontId="1" fillId="0" borderId="57" xfId="6" applyFont="1" applyBorder="1" applyProtection="1"/>
    <xf numFmtId="169" fontId="1" fillId="0" borderId="58" xfId="1" applyNumberFormat="1" applyFont="1" applyFill="1" applyBorder="1" applyAlignment="1" applyProtection="1">
      <alignment horizontal="right" vertical="top"/>
    </xf>
    <xf numFmtId="0" fontId="1" fillId="0" borderId="59" xfId="6" applyFont="1" applyBorder="1" applyProtection="1"/>
    <xf numFmtId="169" fontId="1" fillId="0" borderId="60" xfId="1" applyNumberFormat="1" applyFont="1" applyFill="1" applyBorder="1" applyAlignment="1" applyProtection="1">
      <alignment horizontal="right" vertical="top"/>
    </xf>
    <xf numFmtId="0" fontId="1" fillId="0" borderId="61" xfId="6" applyFont="1" applyBorder="1" applyAlignment="1" applyProtection="1">
      <alignment wrapText="1"/>
    </xf>
    <xf numFmtId="0" fontId="3" fillId="0" borderId="65" xfId="6" applyFont="1" applyBorder="1" applyAlignment="1" applyProtection="1">
      <alignment horizontal="center"/>
    </xf>
    <xf numFmtId="0" fontId="3" fillId="0" borderId="66" xfId="6" applyFont="1" applyBorder="1" applyAlignment="1" applyProtection="1">
      <alignment horizontal="center"/>
    </xf>
    <xf numFmtId="169" fontId="0" fillId="0" borderId="51" xfId="1" applyNumberFormat="1" applyFont="1" applyBorder="1" applyProtection="1"/>
    <xf numFmtId="44" fontId="0" fillId="0" borderId="68" xfId="2" applyFont="1" applyBorder="1" applyProtection="1"/>
    <xf numFmtId="10" fontId="0" fillId="0" borderId="58" xfId="5" applyNumberFormat="1" applyFont="1" applyBorder="1" applyProtection="1"/>
    <xf numFmtId="169" fontId="0" fillId="0" borderId="49" xfId="1" applyNumberFormat="1" applyFont="1" applyBorder="1" applyProtection="1"/>
    <xf numFmtId="169" fontId="1" fillId="0" borderId="70" xfId="1" applyNumberFormat="1" applyFont="1" applyBorder="1" applyAlignment="1" applyProtection="1">
      <alignment horizontal="center"/>
    </xf>
    <xf numFmtId="44" fontId="0" fillId="0" borderId="71" xfId="2" applyFont="1" applyBorder="1" applyProtection="1"/>
    <xf numFmtId="0" fontId="1" fillId="0" borderId="60" xfId="6" applyFont="1" applyBorder="1" applyAlignment="1" applyProtection="1">
      <alignment horizontal="center"/>
    </xf>
    <xf numFmtId="0" fontId="1" fillId="0" borderId="0" xfId="6" applyFont="1" applyBorder="1" applyProtection="1"/>
    <xf numFmtId="0" fontId="1" fillId="0" borderId="0" xfId="6" applyFont="1" applyFill="1" applyBorder="1" applyAlignment="1" applyProtection="1">
      <alignment horizontal="right" vertical="top"/>
    </xf>
    <xf numFmtId="0" fontId="1" fillId="0" borderId="63" xfId="6" applyBorder="1" applyAlignment="1" applyProtection="1">
      <alignment horizontal="center"/>
    </xf>
    <xf numFmtId="0" fontId="3" fillId="0" borderId="64" xfId="6" applyFont="1" applyBorder="1" applyAlignment="1" applyProtection="1">
      <alignment horizontal="center"/>
    </xf>
    <xf numFmtId="0" fontId="1" fillId="0" borderId="68" xfId="6" applyBorder="1" applyProtection="1"/>
    <xf numFmtId="0" fontId="3" fillId="0" borderId="59" xfId="6" applyFont="1" applyBorder="1" applyProtection="1"/>
    <xf numFmtId="0" fontId="1" fillId="0" borderId="69" xfId="6" applyFont="1" applyBorder="1" applyAlignment="1" applyProtection="1">
      <alignment horizontal="center"/>
    </xf>
    <xf numFmtId="0" fontId="3" fillId="0" borderId="0" xfId="6" applyFont="1" applyFill="1" applyBorder="1" applyAlignment="1" applyProtection="1">
      <alignment horizontal="center"/>
    </xf>
    <xf numFmtId="0" fontId="3" fillId="0" borderId="0" xfId="6" applyFont="1" applyFill="1" applyBorder="1" applyProtection="1"/>
    <xf numFmtId="0" fontId="1" fillId="0" borderId="61" xfId="6" applyFont="1" applyFill="1" applyBorder="1" applyAlignment="1" applyProtection="1">
      <alignment wrapText="1"/>
    </xf>
    <xf numFmtId="0" fontId="3" fillId="0" borderId="64" xfId="6" applyFont="1" applyBorder="1" applyAlignment="1" applyProtection="1">
      <alignment horizontal="center" vertical="center" wrapText="1"/>
    </xf>
    <xf numFmtId="0" fontId="3" fillId="0" borderId="72" xfId="6" applyFont="1" applyBorder="1" applyAlignment="1" applyProtection="1">
      <alignment horizontal="center" wrapText="1"/>
    </xf>
    <xf numFmtId="0" fontId="1" fillId="0" borderId="73" xfId="6" applyBorder="1" applyProtection="1"/>
    <xf numFmtId="44" fontId="0" fillId="0" borderId="58" xfId="2" applyFont="1" applyBorder="1" applyProtection="1"/>
    <xf numFmtId="0" fontId="1" fillId="0" borderId="15" xfId="6" applyBorder="1" applyProtection="1"/>
    <xf numFmtId="0" fontId="1" fillId="0" borderId="76" xfId="6" applyBorder="1" applyAlignment="1" applyProtection="1">
      <alignment horizontal="center"/>
    </xf>
    <xf numFmtId="44" fontId="0" fillId="0" borderId="77" xfId="2" applyFont="1" applyBorder="1" applyProtection="1"/>
    <xf numFmtId="0" fontId="3" fillId="0" borderId="65" xfId="6" applyFont="1" applyBorder="1" applyAlignment="1" applyProtection="1">
      <alignment horizontal="center" wrapText="1"/>
    </xf>
    <xf numFmtId="0" fontId="3" fillId="0" borderId="64" xfId="6" applyFont="1" applyBorder="1" applyAlignment="1" applyProtection="1">
      <alignment horizontal="center" wrapText="1"/>
    </xf>
    <xf numFmtId="0" fontId="3" fillId="0" borderId="67" xfId="6" applyFont="1" applyBorder="1" applyAlignment="1" applyProtection="1">
      <alignment horizontal="center" wrapText="1"/>
    </xf>
    <xf numFmtId="44" fontId="1" fillId="0" borderId="68" xfId="6" applyNumberFormat="1" applyBorder="1" applyProtection="1"/>
    <xf numFmtId="44" fontId="1" fillId="0" borderId="49" xfId="6" applyNumberFormat="1" applyBorder="1" applyProtection="1"/>
    <xf numFmtId="44" fontId="0" fillId="0" borderId="78" xfId="2" applyFont="1" applyBorder="1" applyProtection="1"/>
    <xf numFmtId="44" fontId="0" fillId="0" borderId="60" xfId="2" applyFont="1" applyBorder="1" applyProtection="1"/>
    <xf numFmtId="0" fontId="1" fillId="0" borderId="63" xfId="6" applyFont="1" applyBorder="1" applyProtection="1"/>
    <xf numFmtId="0" fontId="3" fillId="0" borderId="65" xfId="6" applyFont="1" applyBorder="1" applyAlignment="1" applyProtection="1">
      <alignment horizontal="center" vertical="center" wrapText="1"/>
    </xf>
    <xf numFmtId="0" fontId="1" fillId="0" borderId="74" xfId="6" applyFont="1" applyBorder="1" applyProtection="1"/>
    <xf numFmtId="44" fontId="0" fillId="0" borderId="49" xfId="2" applyFont="1" applyBorder="1" applyProtection="1"/>
    <xf numFmtId="0" fontId="1" fillId="0" borderId="75" xfId="6" applyFont="1" applyFill="1" applyBorder="1" applyProtection="1"/>
    <xf numFmtId="44" fontId="0" fillId="0" borderId="70" xfId="2" applyFont="1" applyBorder="1" applyProtection="1"/>
    <xf numFmtId="10" fontId="0" fillId="0" borderId="68" xfId="5" applyNumberFormat="1" applyFont="1" applyBorder="1" applyProtection="1"/>
    <xf numFmtId="10" fontId="0" fillId="0" borderId="49" xfId="5" applyNumberFormat="1" applyFont="1" applyBorder="1" applyProtection="1"/>
    <xf numFmtId="0" fontId="1" fillId="0" borderId="70" xfId="6" applyBorder="1" applyAlignment="1" applyProtection="1">
      <alignment horizontal="center"/>
    </xf>
    <xf numFmtId="10" fontId="0" fillId="0" borderId="60" xfId="5" applyNumberFormat="1" applyFont="1" applyBorder="1" applyProtection="1"/>
    <xf numFmtId="0" fontId="56" fillId="0" borderId="0" xfId="0" applyFont="1" applyAlignment="1" applyProtection="1">
      <alignment horizontal="center" vertical="center"/>
    </xf>
    <xf numFmtId="0" fontId="1" fillId="0" borderId="0" xfId="6" applyFont="1" applyFill="1" applyAlignment="1" applyProtection="1">
      <alignment vertical="top" wrapText="1"/>
    </xf>
    <xf numFmtId="0" fontId="56" fillId="0" borderId="0" xfId="0" applyFont="1" applyAlignment="1" applyProtection="1">
      <alignment horizontal="center"/>
    </xf>
    <xf numFmtId="0" fontId="0" fillId="8" borderId="0" xfId="0" applyFill="1" applyProtection="1">
      <protection locked="0"/>
    </xf>
    <xf numFmtId="0" fontId="0" fillId="8" borderId="19" xfId="0" applyFill="1" applyBorder="1" applyProtection="1">
      <protection locked="0"/>
    </xf>
    <xf numFmtId="10" fontId="0" fillId="4" borderId="43" xfId="1" applyNumberFormat="1" applyFont="1" applyFill="1" applyBorder="1" applyProtection="1">
      <protection locked="0"/>
    </xf>
    <xf numFmtId="10" fontId="0" fillId="4" borderId="43" xfId="5" applyNumberFormat="1" applyFont="1" applyFill="1" applyBorder="1" applyProtection="1">
      <protection locked="0"/>
    </xf>
    <xf numFmtId="10" fontId="0" fillId="4" borderId="44" xfId="5" applyNumberFormat="1" applyFont="1" applyFill="1" applyBorder="1" applyProtection="1">
      <protection locked="0"/>
    </xf>
    <xf numFmtId="0" fontId="0" fillId="8" borderId="20" xfId="0" applyFill="1" applyBorder="1" applyAlignment="1" applyProtection="1">
      <alignment horizontal="center" vertical="center"/>
      <protection locked="0"/>
    </xf>
    <xf numFmtId="0" fontId="0" fillId="0" borderId="0" xfId="0" applyAlignment="1">
      <alignment horizontal="left" wrapText="1"/>
    </xf>
    <xf numFmtId="0" fontId="1" fillId="0" borderId="0" xfId="0" applyFont="1" applyAlignment="1">
      <alignment horizontal="left" wrapText="1"/>
    </xf>
    <xf numFmtId="0" fontId="1" fillId="0" borderId="0" xfId="0" applyFont="1" applyAlignment="1">
      <alignment horizontal="left" vertical="top" wrapText="1"/>
    </xf>
    <xf numFmtId="0" fontId="49" fillId="0" borderId="0" xfId="0" applyFont="1" applyAlignment="1">
      <alignment horizontal="left" vertical="top" wrapText="1"/>
    </xf>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0" borderId="0" xfId="0" applyAlignment="1">
      <alignment horizontal="left" vertical="top" wrapText="1"/>
    </xf>
    <xf numFmtId="0" fontId="3" fillId="0" borderId="42" xfId="0" applyFont="1" applyBorder="1" applyAlignment="1">
      <alignment horizontal="center" vertical="top" wrapText="1"/>
    </xf>
    <xf numFmtId="0" fontId="1" fillId="0" borderId="0" xfId="6" applyFont="1" applyFill="1" applyAlignment="1" applyProtection="1">
      <alignment horizontal="left" vertical="top" wrapText="1"/>
    </xf>
    <xf numFmtId="0" fontId="3" fillId="0" borderId="67" xfId="6" applyFont="1" applyBorder="1" applyAlignment="1" applyProtection="1">
      <alignment horizontal="center"/>
    </xf>
    <xf numFmtId="0" fontId="3" fillId="0" borderId="0" xfId="0" applyFont="1" applyBorder="1" applyAlignment="1">
      <alignment horizontal="center" vertical="center" wrapText="1"/>
    </xf>
    <xf numFmtId="0" fontId="3" fillId="0" borderId="0" xfId="0" applyFont="1" applyBorder="1" applyAlignment="1">
      <alignment horizontal="center"/>
    </xf>
    <xf numFmtId="0" fontId="3" fillId="0" borderId="20" xfId="0" applyFont="1" applyBorder="1" applyAlignment="1">
      <alignment horizontal="center"/>
    </xf>
    <xf numFmtId="0" fontId="3" fillId="0" borderId="20" xfId="0" applyFont="1" applyBorder="1" applyAlignment="1">
      <alignment horizontal="center" vertical="center" wrapText="1"/>
    </xf>
    <xf numFmtId="0" fontId="52" fillId="0" borderId="0" xfId="0" applyFont="1" applyBorder="1" applyAlignment="1">
      <alignment horizontal="center" wrapText="1"/>
    </xf>
    <xf numFmtId="0" fontId="3" fillId="0" borderId="0" xfId="0" applyFont="1" applyAlignment="1">
      <alignment horizontal="left" vertical="top" wrapText="1"/>
    </xf>
    <xf numFmtId="168" fontId="0" fillId="0" borderId="14" xfId="0" applyNumberFormat="1" applyFill="1" applyBorder="1" applyAlignment="1" applyProtection="1">
      <alignment vertical="top"/>
      <protection locked="0"/>
    </xf>
    <xf numFmtId="0" fontId="0" fillId="0" borderId="41" xfId="0" applyFill="1" applyBorder="1"/>
    <xf numFmtId="0" fontId="0" fillId="0" borderId="43" xfId="0" applyFill="1" applyBorder="1"/>
    <xf numFmtId="0" fontId="0" fillId="0" borderId="44" xfId="0" applyFill="1" applyBorder="1"/>
    <xf numFmtId="0" fontId="0" fillId="5" borderId="23" xfId="0" applyFill="1" applyBorder="1" applyAlignment="1" applyProtection="1">
      <alignment horizontal="center" vertical="top"/>
      <protection locked="0"/>
    </xf>
    <xf numFmtId="0" fontId="0" fillId="5" borderId="20" xfId="0" applyFill="1" applyBorder="1" applyAlignment="1" applyProtection="1">
      <alignment horizontal="center" vertical="top"/>
      <protection locked="0"/>
    </xf>
    <xf numFmtId="0" fontId="0" fillId="5" borderId="45" xfId="0" applyFill="1" applyBorder="1" applyAlignment="1" applyProtection="1">
      <alignment horizontal="center" vertical="top"/>
      <protection locked="0"/>
    </xf>
    <xf numFmtId="167" fontId="1" fillId="4" borderId="0" xfId="2" applyNumberFormat="1" applyFont="1" applyFill="1" applyAlignment="1" applyProtection="1">
      <alignment vertical="top"/>
      <protection locked="0"/>
    </xf>
    <xf numFmtId="166" fontId="1" fillId="4" borderId="21" xfId="2" quotePrefix="1" applyNumberFormat="1" applyFont="1" applyFill="1" applyBorder="1" applyAlignment="1" applyProtection="1">
      <alignment vertical="top"/>
      <protection locked="0"/>
    </xf>
    <xf numFmtId="172" fontId="0" fillId="0" borderId="78" xfId="2" applyNumberFormat="1" applyFont="1" applyBorder="1" applyProtection="1"/>
    <xf numFmtId="44" fontId="1" fillId="0" borderId="73" xfId="6" applyNumberFormat="1" applyBorder="1" applyProtection="1"/>
    <xf numFmtId="173" fontId="1" fillId="0" borderId="15" xfId="6" applyNumberFormat="1" applyBorder="1" applyProtection="1"/>
    <xf numFmtId="44" fontId="1" fillId="4" borderId="58" xfId="6" applyNumberFormat="1" applyFont="1" applyFill="1" applyBorder="1" applyAlignment="1" applyProtection="1">
      <alignment horizontal="right" vertical="top"/>
      <protection locked="0"/>
    </xf>
    <xf numFmtId="173" fontId="1" fillId="4" borderId="60" xfId="6" applyNumberFormat="1" applyFont="1" applyFill="1" applyBorder="1" applyAlignment="1" applyProtection="1">
      <alignment horizontal="right" vertical="top"/>
      <protection locked="0"/>
    </xf>
    <xf numFmtId="10" fontId="47" fillId="0" borderId="0" xfId="0" applyNumberFormat="1" applyFont="1" applyFill="1" applyBorder="1"/>
    <xf numFmtId="10" fontId="47" fillId="0" borderId="19" xfId="0" applyNumberFormat="1" applyFont="1" applyFill="1" applyBorder="1"/>
    <xf numFmtId="0" fontId="3" fillId="0" borderId="19" xfId="0" applyFont="1" applyBorder="1" applyAlignment="1">
      <alignment horizontal="left" vertical="top" wrapText="1"/>
    </xf>
    <xf numFmtId="167" fontId="0" fillId="0" borderId="5" xfId="2" applyNumberFormat="1" applyFont="1" applyBorder="1" applyAlignment="1" applyProtection="1">
      <alignment vertical="top"/>
      <protection locked="0"/>
    </xf>
    <xf numFmtId="167" fontId="0" fillId="0" borderId="5" xfId="0" applyNumberFormat="1" applyBorder="1" applyAlignment="1" applyProtection="1">
      <alignment vertical="top"/>
      <protection locked="0"/>
    </xf>
    <xf numFmtId="0" fontId="0" fillId="0" borderId="0" xfId="0" applyAlignment="1" applyProtection="1">
      <alignment horizontal="left"/>
    </xf>
    <xf numFmtId="0" fontId="0" fillId="0" borderId="0" xfId="0" applyAlignment="1" applyProtection="1">
      <alignment wrapText="1"/>
    </xf>
    <xf numFmtId="0" fontId="1" fillId="0" borderId="0" xfId="0" applyFont="1" applyAlignment="1" applyProtection="1">
      <alignment horizontal="left"/>
    </xf>
    <xf numFmtId="2" fontId="1" fillId="0" borderId="0" xfId="0" applyNumberFormat="1" applyFont="1"/>
    <xf numFmtId="2" fontId="0" fillId="0" borderId="0" xfId="0" applyNumberFormat="1"/>
    <xf numFmtId="0" fontId="0" fillId="0" borderId="68" xfId="0" applyBorder="1"/>
    <xf numFmtId="174" fontId="0" fillId="0" borderId="0" xfId="0" applyNumberFormat="1" applyFill="1" applyAlignment="1" applyProtection="1">
      <alignment vertical="top"/>
    </xf>
    <xf numFmtId="174" fontId="0" fillId="0" borderId="0" xfId="0" applyNumberFormat="1" applyFill="1" applyBorder="1" applyAlignment="1" applyProtection="1">
      <alignment vertical="top"/>
    </xf>
    <xf numFmtId="174" fontId="3" fillId="2" borderId="42" xfId="0" quotePrefix="1" applyNumberFormat="1" applyFont="1" applyFill="1" applyBorder="1" applyAlignment="1" applyProtection="1">
      <alignment horizontal="right"/>
    </xf>
    <xf numFmtId="174" fontId="3" fillId="2" borderId="19" xfId="0" quotePrefix="1" applyNumberFormat="1" applyFont="1" applyFill="1" applyBorder="1" applyAlignment="1" applyProtection="1">
      <alignment horizontal="right"/>
    </xf>
    <xf numFmtId="174" fontId="3" fillId="2" borderId="0" xfId="0" quotePrefix="1" applyNumberFormat="1" applyFont="1" applyFill="1" applyBorder="1" applyAlignment="1" applyProtection="1">
      <alignment horizontal="right"/>
    </xf>
    <xf numFmtId="164" fontId="3" fillId="2" borderId="47" xfId="0" quotePrefix="1" applyNumberFormat="1" applyFont="1" applyFill="1" applyBorder="1" applyAlignment="1" applyProtection="1">
      <alignment horizontal="right"/>
    </xf>
    <xf numFmtId="164" fontId="3" fillId="2" borderId="47" xfId="0" quotePrefix="1" applyNumberFormat="1" applyFont="1" applyFill="1" applyBorder="1" applyAlignment="1" applyProtection="1">
      <alignment horizontal="center" vertical="center"/>
    </xf>
    <xf numFmtId="174" fontId="3" fillId="2" borderId="20" xfId="0" quotePrefix="1" applyNumberFormat="1" applyFont="1" applyFill="1" applyBorder="1" applyAlignment="1" applyProtection="1">
      <alignment horizontal="right"/>
    </xf>
    <xf numFmtId="174" fontId="3" fillId="2" borderId="45" xfId="0" quotePrefix="1" applyNumberFormat="1" applyFont="1" applyFill="1" applyBorder="1" applyAlignment="1" applyProtection="1">
      <alignment horizontal="right"/>
    </xf>
    <xf numFmtId="174" fontId="3" fillId="2" borderId="23" xfId="0" quotePrefix="1" applyNumberFormat="1" applyFont="1" applyFill="1" applyBorder="1" applyAlignment="1" applyProtection="1">
      <alignment horizontal="right"/>
    </xf>
    <xf numFmtId="164" fontId="3" fillId="2" borderId="48" xfId="0" quotePrefix="1" applyNumberFormat="1" applyFont="1" applyFill="1" applyBorder="1" applyAlignment="1" applyProtection="1">
      <alignment horizontal="center" vertical="center"/>
    </xf>
    <xf numFmtId="166" fontId="1" fillId="4" borderId="42" xfId="2" applyNumberFormat="1" applyFont="1" applyFill="1" applyBorder="1" applyProtection="1">
      <protection locked="0"/>
    </xf>
    <xf numFmtId="0" fontId="1" fillId="0" borderId="0" xfId="0" applyFont="1" applyAlignment="1" applyProtection="1">
      <alignment horizontal="left" wrapText="1"/>
      <protection locked="0"/>
    </xf>
    <xf numFmtId="169" fontId="0" fillId="0" borderId="0" xfId="1" applyNumberFormat="1" applyFont="1" applyProtection="1"/>
    <xf numFmtId="0" fontId="1" fillId="0" borderId="0" xfId="0" applyFont="1" applyAlignment="1">
      <alignment vertical="center" wrapText="1"/>
    </xf>
    <xf numFmtId="167" fontId="0" fillId="0" borderId="5" xfId="2" applyNumberFormat="1" applyFont="1" applyFill="1" applyBorder="1" applyAlignment="1" applyProtection="1">
      <alignment vertical="top"/>
    </xf>
    <xf numFmtId="167" fontId="0" fillId="0" borderId="1" xfId="2" applyNumberFormat="1" applyFont="1" applyFill="1" applyBorder="1" applyAlignment="1" applyProtection="1">
      <alignment vertical="top"/>
    </xf>
    <xf numFmtId="0" fontId="1" fillId="0" borderId="0" xfId="0" applyFont="1" applyAlignment="1">
      <alignment vertical="top" wrapText="1"/>
    </xf>
    <xf numFmtId="0" fontId="63" fillId="0" borderId="0" xfId="0" applyFont="1" applyFill="1" applyBorder="1" applyAlignment="1" applyProtection="1">
      <alignment horizontal="center"/>
    </xf>
    <xf numFmtId="0" fontId="4" fillId="4" borderId="16" xfId="3" applyNumberFormat="1" applyFill="1" applyBorder="1" applyAlignment="1" applyProtection="1">
      <alignment horizontal="left" vertical="center"/>
      <protection locked="0"/>
    </xf>
    <xf numFmtId="0" fontId="44" fillId="4" borderId="17" xfId="0" applyNumberFormat="1" applyFont="1" applyFill="1" applyBorder="1" applyAlignment="1" applyProtection="1">
      <alignment horizontal="left" vertical="center"/>
      <protection locked="0"/>
    </xf>
    <xf numFmtId="0" fontId="44" fillId="4" borderId="18" xfId="0" applyNumberFormat="1" applyFont="1" applyFill="1" applyBorder="1" applyAlignment="1" applyProtection="1">
      <alignment horizontal="left" vertical="center"/>
      <protection locked="0"/>
    </xf>
    <xf numFmtId="0" fontId="29" fillId="0" borderId="0" xfId="0" applyFont="1" applyFill="1" applyBorder="1" applyAlignment="1" applyProtection="1">
      <alignment horizontal="left" indent="4"/>
    </xf>
    <xf numFmtId="0" fontId="24" fillId="2" borderId="0" xfId="0" applyNumberFormat="1" applyFont="1" applyFill="1" applyAlignment="1" applyProtection="1">
      <alignment horizontal="left" vertical="top" wrapText="1" indent="4"/>
    </xf>
    <xf numFmtId="0" fontId="31" fillId="0" borderId="0" xfId="0" applyFont="1" applyFill="1" applyAlignment="1" applyProtection="1">
      <alignment horizontal="left"/>
    </xf>
    <xf numFmtId="0" fontId="4" fillId="0" borderId="0" xfId="3" applyFill="1" applyBorder="1" applyAlignment="1" applyProtection="1">
      <alignment horizontal="left"/>
      <protection locked="0"/>
    </xf>
    <xf numFmtId="0" fontId="32" fillId="0" borderId="0" xfId="0" applyFont="1" applyFill="1" applyBorder="1" applyAlignment="1" applyProtection="1">
      <alignment horizontal="left"/>
      <protection locked="0"/>
    </xf>
    <xf numFmtId="0" fontId="44" fillId="5" borderId="16" xfId="0" applyFont="1" applyFill="1" applyBorder="1" applyAlignment="1" applyProtection="1">
      <alignment horizontal="left" vertical="center" wrapText="1"/>
      <protection locked="0"/>
    </xf>
    <xf numFmtId="0" fontId="44" fillId="5" borderId="17" xfId="0" applyFont="1" applyFill="1" applyBorder="1" applyAlignment="1" applyProtection="1">
      <alignment horizontal="left" vertical="center" wrapText="1"/>
      <protection locked="0"/>
    </xf>
    <xf numFmtId="0" fontId="44" fillId="5" borderId="18" xfId="0" applyFont="1" applyFill="1" applyBorder="1" applyAlignment="1" applyProtection="1">
      <alignment horizontal="left" vertical="center" wrapText="1"/>
      <protection locked="0"/>
    </xf>
    <xf numFmtId="0" fontId="45" fillId="4" borderId="16" xfId="0" applyFont="1" applyFill="1" applyBorder="1" applyAlignment="1" applyProtection="1">
      <alignment horizontal="left" vertical="center"/>
      <protection locked="0"/>
    </xf>
    <xf numFmtId="0" fontId="45" fillId="4" borderId="17" xfId="0" applyFont="1" applyFill="1" applyBorder="1" applyAlignment="1" applyProtection="1">
      <alignment horizontal="left" vertical="center"/>
      <protection locked="0"/>
    </xf>
    <xf numFmtId="0" fontId="45" fillId="4" borderId="18" xfId="0" applyFont="1" applyFill="1" applyBorder="1" applyAlignment="1" applyProtection="1">
      <alignment horizontal="left" vertical="center"/>
      <protection locked="0"/>
    </xf>
    <xf numFmtId="0" fontId="44" fillId="4" borderId="16" xfId="0" applyFont="1" applyFill="1" applyBorder="1" applyAlignment="1" applyProtection="1">
      <alignment horizontal="left" vertical="center"/>
      <protection locked="0"/>
    </xf>
    <xf numFmtId="0" fontId="44" fillId="4" borderId="17" xfId="0" applyFont="1" applyFill="1" applyBorder="1" applyAlignment="1" applyProtection="1">
      <alignment horizontal="left" vertical="center"/>
      <protection locked="0"/>
    </xf>
    <xf numFmtId="0" fontId="44" fillId="4" borderId="18" xfId="0" applyFont="1" applyFill="1" applyBorder="1" applyAlignment="1" applyProtection="1">
      <alignment horizontal="left" vertical="center"/>
      <protection locked="0"/>
    </xf>
    <xf numFmtId="0" fontId="0" fillId="0" borderId="0" xfId="0" applyAlignment="1" applyProtection="1">
      <alignment horizontal="left" vertical="top" wrapText="1"/>
    </xf>
    <xf numFmtId="0" fontId="21" fillId="2" borderId="0" xfId="0" applyFont="1" applyFill="1" applyBorder="1" applyAlignment="1" applyProtection="1">
      <alignment horizontal="left" vertical="center" wrapText="1"/>
    </xf>
    <xf numFmtId="0" fontId="7" fillId="5" borderId="0" xfId="0" applyFont="1" applyFill="1" applyBorder="1" applyAlignment="1" applyProtection="1">
      <alignment horizontal="left"/>
    </xf>
    <xf numFmtId="0" fontId="13" fillId="0" borderId="0" xfId="0" applyFont="1" applyFill="1" applyBorder="1" applyAlignment="1" applyProtection="1">
      <alignment horizontal="left" vertical="top" wrapText="1"/>
    </xf>
    <xf numFmtId="0" fontId="14" fillId="0" borderId="0" xfId="0" applyFont="1" applyFill="1" applyBorder="1" applyAlignment="1" applyProtection="1">
      <alignment horizontal="left" indent="1"/>
      <protection locked="0"/>
    </xf>
    <xf numFmtId="0" fontId="7" fillId="4" borderId="0" xfId="0" applyFont="1" applyFill="1" applyBorder="1" applyAlignment="1" applyProtection="1">
      <alignment horizontal="left"/>
    </xf>
    <xf numFmtId="167" fontId="0" fillId="4" borderId="0" xfId="0" applyNumberFormat="1" applyFill="1" applyAlignment="1" applyProtection="1">
      <alignment horizontal="left" wrapText="1"/>
      <protection locked="0"/>
    </xf>
    <xf numFmtId="0" fontId="0" fillId="4" borderId="0" xfId="0" applyFill="1" applyAlignment="1" applyProtection="1">
      <alignment horizontal="left" wrapText="1"/>
      <protection locked="0"/>
    </xf>
    <xf numFmtId="0" fontId="1" fillId="0" borderId="0" xfId="0" applyFont="1" applyFill="1" applyAlignment="1" applyProtection="1">
      <alignment horizontal="left" wrapText="1"/>
      <protection locked="0"/>
    </xf>
    <xf numFmtId="0" fontId="0" fillId="0" borderId="0" xfId="0" applyFill="1" applyAlignment="1" applyProtection="1">
      <alignment horizontal="left" wrapText="1"/>
      <protection locked="0"/>
    </xf>
    <xf numFmtId="0" fontId="13" fillId="2" borderId="0" xfId="0" applyFont="1" applyFill="1" applyAlignment="1" applyProtection="1">
      <alignment horizontal="left" vertical="top" wrapText="1"/>
    </xf>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0" fillId="0" borderId="0" xfId="0" applyFill="1" applyAlignment="1" applyProtection="1">
      <alignment horizontal="left" wrapText="1"/>
    </xf>
    <xf numFmtId="0" fontId="0" fillId="0" borderId="0" xfId="0" applyFill="1" applyAlignment="1" applyProtection="1">
      <alignment wrapText="1"/>
    </xf>
    <xf numFmtId="0" fontId="14" fillId="2" borderId="0" xfId="0" applyFont="1" applyFill="1" applyBorder="1" applyAlignment="1" applyProtection="1">
      <alignment horizontal="left" indent="7"/>
    </xf>
    <xf numFmtId="0" fontId="48" fillId="0" borderId="0" xfId="0" quotePrefix="1" applyFont="1" applyFill="1" applyAlignment="1" applyProtection="1">
      <alignment vertical="center" wrapText="1"/>
    </xf>
    <xf numFmtId="0" fontId="56" fillId="0" borderId="0" xfId="0" applyFont="1" applyAlignment="1">
      <alignment vertical="center" wrapText="1"/>
    </xf>
    <xf numFmtId="0" fontId="3" fillId="0" borderId="0"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22" fillId="2" borderId="0" xfId="0" quotePrefix="1" applyFont="1" applyFill="1" applyAlignment="1" applyProtection="1">
      <alignment wrapText="1"/>
    </xf>
    <xf numFmtId="0" fontId="23" fillId="2" borderId="0" xfId="0" applyFont="1" applyFill="1" applyAlignment="1" applyProtection="1">
      <alignment wrapText="1"/>
    </xf>
    <xf numFmtId="0" fontId="0" fillId="0" borderId="0" xfId="0" applyAlignment="1" applyProtection="1">
      <alignment vertical="center" wrapText="1"/>
    </xf>
    <xf numFmtId="0" fontId="0" fillId="0" borderId="0" xfId="0" applyAlignment="1" applyProtection="1"/>
    <xf numFmtId="0" fontId="0" fillId="0" borderId="0" xfId="0" applyAlignment="1" applyProtection="1">
      <alignment horizontal="left"/>
    </xf>
    <xf numFmtId="0" fontId="1" fillId="0" borderId="0" xfId="0" applyFont="1" applyFill="1" applyAlignment="1" applyProtection="1">
      <alignment horizontal="left" vertical="top" wrapText="1"/>
    </xf>
    <xf numFmtId="0" fontId="0" fillId="0" borderId="0" xfId="0" applyFill="1" applyAlignment="1" applyProtection="1">
      <alignment horizontal="left" vertical="top" wrapText="1"/>
    </xf>
    <xf numFmtId="0" fontId="0" fillId="0" borderId="0" xfId="0" applyAlignment="1" applyProtection="1">
      <alignment wrapText="1"/>
    </xf>
    <xf numFmtId="0" fontId="1" fillId="0" borderId="0" xfId="0" applyFont="1" applyAlignment="1" applyProtection="1">
      <alignment wrapText="1"/>
    </xf>
    <xf numFmtId="0" fontId="0" fillId="4" borderId="0" xfId="0" applyFill="1" applyAlignment="1" applyProtection="1">
      <alignment wrapText="1"/>
      <protection locked="0"/>
    </xf>
    <xf numFmtId="0" fontId="13" fillId="2" borderId="0" xfId="0" applyFont="1" applyFill="1" applyAlignment="1" applyProtection="1">
      <alignment horizontal="left" vertical="top" wrapText="1" indent="7"/>
    </xf>
    <xf numFmtId="0" fontId="10" fillId="0" borderId="0" xfId="0" applyFont="1" applyBorder="1" applyAlignment="1" applyProtection="1">
      <alignment horizontal="left" wrapText="1"/>
    </xf>
    <xf numFmtId="167" fontId="0" fillId="0" borderId="3" xfId="2" applyNumberFormat="1" applyFont="1" applyBorder="1" applyAlignment="1" applyProtection="1">
      <alignment horizontal="right"/>
    </xf>
    <xf numFmtId="167" fontId="0" fillId="0" borderId="4" xfId="2" applyNumberFormat="1" applyFont="1" applyBorder="1" applyAlignment="1" applyProtection="1">
      <alignment horizontal="right"/>
    </xf>
    <xf numFmtId="0" fontId="3" fillId="0" borderId="0" xfId="0" applyFont="1" applyBorder="1" applyAlignment="1" applyProtection="1">
      <alignment horizontal="left"/>
    </xf>
    <xf numFmtId="0" fontId="3" fillId="0" borderId="4" xfId="0" applyFont="1" applyBorder="1" applyAlignment="1" applyProtection="1">
      <alignment horizontal="left"/>
    </xf>
    <xf numFmtId="0" fontId="12" fillId="0" borderId="2" xfId="0" applyFont="1" applyFill="1" applyBorder="1" applyAlignment="1" applyProtection="1">
      <alignment horizontal="left"/>
    </xf>
    <xf numFmtId="0" fontId="3" fillId="0" borderId="2" xfId="0" applyFont="1" applyFill="1" applyBorder="1" applyAlignment="1" applyProtection="1">
      <alignment horizontal="left"/>
    </xf>
    <xf numFmtId="167" fontId="0" fillId="0" borderId="3" xfId="0" applyNumberFormat="1" applyBorder="1" applyAlignment="1" applyProtection="1">
      <alignment horizontal="right"/>
    </xf>
    <xf numFmtId="167" fontId="0" fillId="0" borderId="4" xfId="0" applyNumberFormat="1" applyBorder="1" applyAlignment="1" applyProtection="1">
      <alignment horizontal="right"/>
    </xf>
    <xf numFmtId="167" fontId="0" fillId="0" borderId="13" xfId="2" applyNumberFormat="1" applyFont="1" applyBorder="1" applyAlignment="1" applyProtection="1">
      <alignment horizontal="right"/>
    </xf>
    <xf numFmtId="167" fontId="0" fillId="0" borderId="2" xfId="2" applyNumberFormat="1" applyFont="1" applyBorder="1" applyAlignment="1" applyProtection="1">
      <alignment horizontal="right"/>
    </xf>
    <xf numFmtId="167" fontId="0" fillId="0" borderId="3" xfId="2" applyNumberFormat="1" applyFont="1" applyFill="1" applyBorder="1" applyAlignment="1" applyProtection="1">
      <alignment horizontal="right"/>
    </xf>
    <xf numFmtId="167" fontId="0" fillId="0" borderId="4" xfId="2" applyNumberFormat="1" applyFont="1" applyFill="1" applyBorder="1" applyAlignment="1" applyProtection="1">
      <alignment horizontal="right"/>
    </xf>
    <xf numFmtId="167" fontId="0" fillId="0" borderId="0" xfId="2" applyNumberFormat="1" applyFont="1" applyBorder="1" applyAlignment="1" applyProtection="1">
      <alignment horizontal="right"/>
    </xf>
    <xf numFmtId="167" fontId="0" fillId="0" borderId="3" xfId="2" applyNumberFormat="1" applyFont="1" applyBorder="1" applyAlignment="1" applyProtection="1"/>
    <xf numFmtId="167" fontId="0" fillId="0" borderId="2" xfId="2" applyNumberFormat="1" applyFont="1" applyBorder="1" applyAlignment="1" applyProtection="1"/>
    <xf numFmtId="0" fontId="5" fillId="0" borderId="0" xfId="0" applyFont="1" applyFill="1" applyAlignment="1" applyProtection="1">
      <alignment horizontal="center"/>
    </xf>
    <xf numFmtId="0" fontId="0" fillId="4" borderId="0" xfId="0" applyFill="1" applyBorder="1" applyAlignment="1" applyProtection="1">
      <alignment wrapText="1"/>
      <protection locked="0"/>
    </xf>
    <xf numFmtId="0" fontId="7" fillId="4" borderId="0" xfId="0" applyFont="1" applyFill="1" applyBorder="1" applyAlignment="1" applyProtection="1">
      <alignment wrapText="1"/>
      <protection locked="0"/>
    </xf>
    <xf numFmtId="0" fontId="10" fillId="0" borderId="0" xfId="0" applyFont="1" applyBorder="1" applyAlignment="1" applyProtection="1">
      <alignment horizontal="left"/>
    </xf>
    <xf numFmtId="0" fontId="23" fillId="0" borderId="0" xfId="0" applyFont="1" applyFill="1" applyAlignment="1" applyProtection="1">
      <alignment wrapText="1"/>
    </xf>
    <xf numFmtId="49" fontId="10" fillId="0" borderId="0" xfId="0" applyNumberFormat="1" applyFont="1" applyBorder="1" applyAlignment="1" applyProtection="1">
      <alignment horizontal="left"/>
    </xf>
    <xf numFmtId="0" fontId="5" fillId="0" borderId="0" xfId="0" applyFont="1" applyFill="1" applyAlignment="1" applyProtection="1">
      <alignment horizontal="left"/>
    </xf>
    <xf numFmtId="0" fontId="0" fillId="0" borderId="0" xfId="0" applyAlignment="1" applyProtection="1">
      <alignment horizontal="left" wrapText="1"/>
    </xf>
    <xf numFmtId="49" fontId="3"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xf>
    <xf numFmtId="0" fontId="3" fillId="6" borderId="0" xfId="0" applyFont="1" applyFill="1" applyBorder="1" applyAlignment="1" applyProtection="1">
      <alignment horizontal="center" vertical="center"/>
    </xf>
    <xf numFmtId="0" fontId="13" fillId="2" borderId="0" xfId="0" applyFont="1" applyFill="1" applyAlignment="1" applyProtection="1">
      <alignment horizontal="left" vertical="top" wrapText="1" indent="8"/>
    </xf>
    <xf numFmtId="0" fontId="14" fillId="2" borderId="0" xfId="0" applyFont="1" applyFill="1" applyBorder="1" applyAlignment="1" applyProtection="1">
      <alignment horizontal="left" indent="8"/>
    </xf>
    <xf numFmtId="0" fontId="15" fillId="0" borderId="0" xfId="0" applyFont="1" applyFill="1" applyAlignment="1" applyProtection="1">
      <alignment horizontal="left" vertical="center"/>
    </xf>
    <xf numFmtId="0" fontId="3" fillId="0" borderId="2" xfId="0" applyFont="1" applyBorder="1" applyAlignment="1" applyProtection="1">
      <alignment horizontal="center" vertical="center"/>
    </xf>
    <xf numFmtId="0" fontId="0" fillId="4" borderId="0" xfId="0" applyFill="1" applyAlignment="1" applyProtection="1">
      <alignment horizontal="left" vertical="top" wrapText="1"/>
      <protection locked="0"/>
    </xf>
    <xf numFmtId="0" fontId="3" fillId="2" borderId="10"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2" xfId="0" applyFont="1" applyFill="1" applyBorder="1" applyAlignment="1" applyProtection="1">
      <alignment horizontal="center"/>
    </xf>
    <xf numFmtId="0" fontId="13" fillId="2" borderId="0" xfId="0" applyFont="1" applyFill="1" applyAlignment="1" applyProtection="1">
      <alignment horizontal="left" vertical="top" wrapText="1" indent="6"/>
    </xf>
    <xf numFmtId="0" fontId="14" fillId="2" borderId="0" xfId="0" applyFont="1" applyFill="1" applyBorder="1" applyAlignment="1" applyProtection="1">
      <alignment horizontal="left" indent="6"/>
    </xf>
    <xf numFmtId="0" fontId="3" fillId="0" borderId="0" xfId="0" applyFont="1" applyAlignment="1" applyProtection="1">
      <alignment horizontal="left"/>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wrapText="1"/>
    </xf>
    <xf numFmtId="0" fontId="3" fillId="0" borderId="2" xfId="0" applyFont="1" applyBorder="1" applyAlignment="1" applyProtection="1">
      <alignment horizontal="center" wrapText="1"/>
    </xf>
    <xf numFmtId="0" fontId="27" fillId="2" borderId="0" xfId="0" applyFont="1" applyFill="1" applyAlignment="1" applyProtection="1">
      <alignment horizontal="left" wrapText="1"/>
    </xf>
    <xf numFmtId="167" fontId="0" fillId="0" borderId="0" xfId="2" applyNumberFormat="1" applyFont="1" applyAlignment="1" applyProtection="1">
      <alignment horizontal="right"/>
    </xf>
    <xf numFmtId="167" fontId="0" fillId="0" borderId="0" xfId="2" applyNumberFormat="1" applyFont="1" applyAlignment="1" applyProtection="1"/>
    <xf numFmtId="167" fontId="0" fillId="0" borderId="0" xfId="0" applyNumberFormat="1" applyAlignment="1" applyProtection="1"/>
    <xf numFmtId="167" fontId="28" fillId="0" borderId="0" xfId="2" applyNumberFormat="1" applyFont="1" applyAlignment="1" applyProtection="1"/>
    <xf numFmtId="167" fontId="28" fillId="0" borderId="0" xfId="0" applyNumberFormat="1" applyFont="1" applyAlignment="1" applyProtection="1"/>
    <xf numFmtId="167" fontId="0" fillId="0" borderId="0" xfId="2" applyNumberFormat="1" applyFont="1" applyFill="1" applyBorder="1" applyAlignment="1" applyProtection="1">
      <alignment horizontal="right"/>
    </xf>
    <xf numFmtId="167" fontId="0" fillId="0" borderId="0" xfId="0" applyNumberFormat="1" applyBorder="1" applyAlignment="1" applyProtection="1">
      <alignment horizontal="center"/>
    </xf>
    <xf numFmtId="167" fontId="0" fillId="0" borderId="6" xfId="2" applyNumberFormat="1" applyFont="1" applyBorder="1" applyAlignment="1" applyProtection="1">
      <alignment horizontal="right"/>
    </xf>
    <xf numFmtId="167" fontId="7" fillId="0" borderId="0" xfId="2" applyNumberFormat="1" applyFont="1" applyBorder="1" applyAlignment="1" applyProtection="1">
      <alignment horizontal="right" vertical="center"/>
    </xf>
    <xf numFmtId="167" fontId="7" fillId="0" borderId="0" xfId="0" applyNumberFormat="1" applyFont="1" applyAlignment="1" applyProtection="1">
      <alignment horizontal="right"/>
    </xf>
    <xf numFmtId="0" fontId="3" fillId="2" borderId="2" xfId="0" applyFont="1" applyFill="1" applyBorder="1" applyAlignment="1" applyProtection="1">
      <alignment horizontal="center" vertical="center" wrapText="1"/>
    </xf>
    <xf numFmtId="0" fontId="5" fillId="0" borderId="0" xfId="0" applyFont="1" applyFill="1" applyAlignment="1" applyProtection="1">
      <alignment horizontal="center" vertical="center"/>
    </xf>
    <xf numFmtId="167" fontId="0" fillId="0" borderId="2" xfId="0" applyNumberFormat="1" applyBorder="1" applyAlignment="1" applyProtection="1">
      <alignment horizontal="right"/>
    </xf>
    <xf numFmtId="167" fontId="0" fillId="0" borderId="3" xfId="0" applyNumberFormat="1" applyFill="1" applyBorder="1" applyAlignment="1" applyProtection="1">
      <alignment horizontal="right"/>
    </xf>
    <xf numFmtId="167" fontId="0" fillId="0" borderId="4" xfId="0" applyNumberFormat="1" applyFill="1" applyBorder="1" applyAlignment="1" applyProtection="1">
      <alignment horizontal="right"/>
    </xf>
    <xf numFmtId="167" fontId="3" fillId="0" borderId="42" xfId="2" applyNumberFormat="1" applyFont="1" applyFill="1" applyBorder="1" applyAlignment="1" applyProtection="1">
      <alignment horizontal="center" vertical="center"/>
    </xf>
    <xf numFmtId="167" fontId="0" fillId="0" borderId="42" xfId="2" applyNumberFormat="1" applyFont="1" applyFill="1" applyBorder="1" applyAlignment="1" applyProtection="1">
      <alignment horizontal="right"/>
    </xf>
    <xf numFmtId="167" fontId="0" fillId="0" borderId="19" xfId="2" applyNumberFormat="1" applyFont="1" applyFill="1" applyBorder="1" applyAlignment="1" applyProtection="1">
      <alignment horizontal="right"/>
    </xf>
    <xf numFmtId="167" fontId="0" fillId="0" borderId="0" xfId="2" applyNumberFormat="1" applyFont="1" applyBorder="1" applyAlignment="1" applyProtection="1"/>
    <xf numFmtId="167" fontId="0" fillId="0" borderId="0" xfId="0" applyNumberFormat="1" applyBorder="1" applyAlignment="1" applyProtection="1"/>
    <xf numFmtId="167" fontId="0" fillId="0" borderId="2" xfId="0" applyNumberFormat="1" applyBorder="1" applyAlignment="1" applyProtection="1"/>
    <xf numFmtId="0" fontId="5" fillId="0" borderId="0" xfId="0" applyFont="1" applyAlignment="1" applyProtection="1">
      <alignment horizontal="center" wrapText="1"/>
    </xf>
    <xf numFmtId="0" fontId="15" fillId="0" borderId="0" xfId="0" applyFont="1" applyAlignment="1">
      <alignment horizontal="center"/>
    </xf>
    <xf numFmtId="0" fontId="1" fillId="0" borderId="50" xfId="0" applyFont="1" applyBorder="1" applyAlignment="1">
      <alignment horizontal="center" vertical="top" wrapText="1"/>
    </xf>
    <xf numFmtId="0" fontId="3" fillId="0" borderId="15" xfId="0" applyFont="1" applyBorder="1" applyAlignment="1">
      <alignment horizontal="center"/>
    </xf>
    <xf numFmtId="0" fontId="3" fillId="0" borderId="3" xfId="0" applyFont="1" applyBorder="1" applyAlignment="1">
      <alignment horizontal="center"/>
    </xf>
    <xf numFmtId="0" fontId="3" fillId="0" borderId="10" xfId="0" applyFont="1" applyBorder="1" applyAlignment="1">
      <alignment horizontal="center"/>
    </xf>
    <xf numFmtId="0" fontId="1" fillId="0" borderId="0" xfId="0" applyFont="1" applyAlignment="1">
      <alignment horizontal="left" wrapText="1"/>
    </xf>
    <xf numFmtId="0" fontId="0" fillId="0" borderId="0" xfId="0" applyAlignment="1">
      <alignment horizontal="left" wrapText="1"/>
    </xf>
    <xf numFmtId="0" fontId="0" fillId="9" borderId="0" xfId="0" applyFill="1" applyAlignment="1" applyProtection="1">
      <alignment horizontal="center"/>
      <protection locked="0"/>
    </xf>
    <xf numFmtId="0" fontId="1" fillId="0" borderId="0" xfId="0" applyFont="1" applyAlignment="1">
      <alignment horizontal="left" vertical="top" wrapText="1"/>
    </xf>
    <xf numFmtId="0" fontId="0" fillId="0" borderId="0" xfId="0" applyAlignment="1">
      <alignment horizontal="left" vertical="top" wrapText="1"/>
    </xf>
    <xf numFmtId="0" fontId="15" fillId="0" borderId="0" xfId="0" applyFont="1" applyAlignment="1">
      <alignment horizontal="center" wrapText="1"/>
    </xf>
    <xf numFmtId="0" fontId="3" fillId="0" borderId="42" xfId="0" applyFont="1" applyBorder="1" applyAlignment="1">
      <alignment horizontal="center" vertical="top" wrapText="1"/>
    </xf>
    <xf numFmtId="0" fontId="3" fillId="0" borderId="0" xfId="0" applyFont="1" applyBorder="1" applyAlignment="1">
      <alignment horizontal="center" vertical="top" wrapText="1"/>
    </xf>
    <xf numFmtId="0" fontId="49" fillId="0" borderId="0" xfId="0" applyFont="1" applyFill="1" applyAlignment="1">
      <alignment horizontal="left" vertical="top" wrapText="1"/>
    </xf>
    <xf numFmtId="0" fontId="1" fillId="0" borderId="0" xfId="0" applyFont="1" applyAlignment="1">
      <alignment horizontal="center" vertical="top" wrapText="1"/>
    </xf>
    <xf numFmtId="0" fontId="1" fillId="0" borderId="0" xfId="0" applyFont="1" applyAlignment="1">
      <alignment horizontal="left" vertical="top"/>
    </xf>
    <xf numFmtId="0" fontId="3" fillId="0" borderId="0" xfId="0" quotePrefix="1" applyFont="1" applyBorder="1" applyAlignment="1">
      <alignment horizontal="center" vertical="top" wrapText="1"/>
    </xf>
    <xf numFmtId="0" fontId="49" fillId="0" borderId="0" xfId="0" applyFont="1" applyAlignment="1">
      <alignment horizontal="left" vertical="top" wrapText="1"/>
    </xf>
    <xf numFmtId="0" fontId="3" fillId="0" borderId="0" xfId="0" applyFont="1" applyBorder="1" applyAlignment="1">
      <alignment horizontal="center" vertical="top"/>
    </xf>
    <xf numFmtId="0" fontId="3" fillId="0" borderId="42" xfId="0" applyFont="1" applyBorder="1" applyAlignment="1">
      <alignment horizontal="center"/>
    </xf>
    <xf numFmtId="0" fontId="1" fillId="0" borderId="0" xfId="6" applyFont="1" applyFill="1" applyAlignment="1" applyProtection="1">
      <alignment horizontal="left" vertical="center" wrapText="1"/>
    </xf>
    <xf numFmtId="0" fontId="3" fillId="0" borderId="0" xfId="6" applyFont="1" applyFill="1" applyAlignment="1" applyProtection="1">
      <alignment horizontal="left" vertical="center" wrapText="1"/>
    </xf>
    <xf numFmtId="0" fontId="1" fillId="0" borderId="0" xfId="6" applyFont="1" applyFill="1" applyAlignment="1" applyProtection="1">
      <alignment horizontal="left" vertical="top" wrapText="1"/>
    </xf>
    <xf numFmtId="0" fontId="15" fillId="0" borderId="0" xfId="6" applyFont="1" applyAlignment="1" applyProtection="1">
      <alignment horizontal="center" wrapText="1"/>
    </xf>
    <xf numFmtId="0" fontId="3" fillId="0" borderId="55" xfId="6" applyFont="1" applyBorder="1" applyAlignment="1" applyProtection="1">
      <alignment horizontal="center"/>
    </xf>
    <xf numFmtId="0" fontId="3" fillId="0" borderId="56" xfId="6" applyFont="1" applyBorder="1" applyAlignment="1" applyProtection="1">
      <alignment horizontal="center"/>
    </xf>
    <xf numFmtId="0" fontId="3" fillId="0" borderId="63" xfId="6" applyFont="1" applyBorder="1" applyAlignment="1" applyProtection="1">
      <alignment horizontal="center"/>
    </xf>
    <xf numFmtId="0" fontId="3" fillId="0" borderId="67" xfId="6" applyFont="1" applyBorder="1" applyAlignment="1" applyProtection="1">
      <alignment horizontal="center"/>
    </xf>
    <xf numFmtId="0" fontId="1" fillId="0" borderId="74" xfId="6" applyFont="1" applyBorder="1" applyAlignment="1" applyProtection="1">
      <alignment wrapText="1"/>
    </xf>
    <xf numFmtId="0" fontId="1" fillId="0" borderId="44" xfId="6" applyFont="1" applyBorder="1" applyAlignment="1" applyProtection="1">
      <alignment wrapText="1"/>
    </xf>
    <xf numFmtId="0" fontId="1" fillId="0" borderId="0" xfId="6" applyAlignment="1" applyProtection="1">
      <alignment horizontal="left" vertical="top" wrapText="1"/>
    </xf>
    <xf numFmtId="0" fontId="1" fillId="0" borderId="0" xfId="6" applyFill="1" applyBorder="1" applyAlignment="1" applyProtection="1">
      <alignment horizontal="left" vertical="top" wrapText="1"/>
    </xf>
    <xf numFmtId="0" fontId="3" fillId="0" borderId="20" xfId="0" applyFont="1" applyBorder="1" applyAlignment="1">
      <alignment horizontal="center" vertical="center" wrapText="1"/>
    </xf>
    <xf numFmtId="0" fontId="62" fillId="0" borderId="0" xfId="0" applyFont="1" applyFill="1" applyAlignment="1">
      <alignment horizontal="center" wrapText="1"/>
    </xf>
    <xf numFmtId="0" fontId="3" fillId="0" borderId="0" xfId="0" applyFont="1" applyBorder="1" applyAlignment="1">
      <alignment horizontal="center"/>
    </xf>
    <xf numFmtId="0" fontId="3" fillId="0" borderId="20" xfId="0" applyFont="1" applyBorder="1" applyAlignment="1">
      <alignment horizontal="center"/>
    </xf>
    <xf numFmtId="0" fontId="0" fillId="0" borderId="20" xfId="0" applyBorder="1" applyAlignment="1">
      <alignment horizontal="left" vertical="top"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23" xfId="0" applyFont="1" applyBorder="1" applyAlignment="1">
      <alignment horizontal="center" vertical="center"/>
    </xf>
    <xf numFmtId="0" fontId="52" fillId="0" borderId="0" xfId="0" applyFont="1" applyBorder="1" applyAlignment="1">
      <alignment horizontal="center" vertical="center" wrapText="1"/>
    </xf>
    <xf numFmtId="0" fontId="52" fillId="0" borderId="20" xfId="0" applyFont="1" applyBorder="1" applyAlignment="1">
      <alignment horizontal="center" vertical="center" wrapText="1"/>
    </xf>
    <xf numFmtId="0" fontId="52" fillId="0" borderId="43" xfId="0" applyFont="1" applyBorder="1" applyAlignment="1">
      <alignment horizontal="center" wrapText="1"/>
    </xf>
    <xf numFmtId="0" fontId="52" fillId="0" borderId="0" xfId="0" applyFont="1" applyBorder="1" applyAlignment="1">
      <alignment horizontal="center" wrapText="1"/>
    </xf>
    <xf numFmtId="0" fontId="52" fillId="0" borderId="20" xfId="0" applyFont="1" applyBorder="1" applyAlignment="1">
      <alignment horizontal="center" wrapText="1"/>
    </xf>
    <xf numFmtId="0" fontId="3" fillId="0" borderId="0" xfId="0" applyFont="1" applyAlignment="1">
      <alignment horizontal="right" vertical="center"/>
    </xf>
    <xf numFmtId="0" fontId="3" fillId="0" borderId="41" xfId="0" applyFont="1" applyBorder="1" applyAlignment="1">
      <alignment horizontal="center"/>
    </xf>
    <xf numFmtId="0" fontId="3" fillId="0" borderId="23" xfId="0" applyFont="1" applyBorder="1" applyAlignment="1">
      <alignment horizontal="center"/>
    </xf>
    <xf numFmtId="0" fontId="3" fillId="0" borderId="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0" xfId="0" applyFont="1" applyBorder="1" applyAlignment="1">
      <alignment horizontal="center" wrapText="1"/>
    </xf>
    <xf numFmtId="0" fontId="49" fillId="10" borderId="47" xfId="0" applyFont="1" applyFill="1" applyBorder="1" applyAlignment="1">
      <alignment horizontal="center"/>
    </xf>
    <xf numFmtId="0" fontId="49" fillId="10" borderId="48" xfId="0" applyFont="1" applyFill="1" applyBorder="1" applyAlignment="1">
      <alignment horizontal="center"/>
    </xf>
    <xf numFmtId="0" fontId="1" fillId="0" borderId="0" xfId="0" applyFont="1" applyAlignment="1">
      <alignment horizontal="left"/>
    </xf>
    <xf numFmtId="0" fontId="50" fillId="0" borderId="0" xfId="0" applyFont="1" applyAlignment="1">
      <alignment horizontal="center"/>
    </xf>
    <xf numFmtId="0" fontId="3" fillId="0" borderId="27" xfId="0" applyFont="1" applyBorder="1" applyAlignment="1">
      <alignment horizontal="left" vertical="top" wrapText="1"/>
    </xf>
    <xf numFmtId="0" fontId="1" fillId="7" borderId="27" xfId="0" applyFont="1" applyFill="1" applyBorder="1" applyAlignment="1" applyProtection="1">
      <alignment horizontal="left" vertical="top" wrapText="1"/>
      <protection locked="0"/>
    </xf>
    <xf numFmtId="0" fontId="0" fillId="7" borderId="27" xfId="0" applyFill="1" applyBorder="1" applyAlignment="1" applyProtection="1">
      <alignment horizontal="left" vertical="top" wrapText="1"/>
      <protection locked="0"/>
    </xf>
    <xf numFmtId="0" fontId="49" fillId="0" borderId="0" xfId="0" applyFont="1" applyBorder="1" applyAlignment="1">
      <alignment horizontal="left" vertical="top"/>
    </xf>
    <xf numFmtId="0" fontId="3" fillId="0" borderId="0" xfId="0" applyFont="1" applyBorder="1" applyAlignment="1">
      <alignment horizontal="left" vertical="top" wrapText="1"/>
    </xf>
    <xf numFmtId="0" fontId="1" fillId="7" borderId="32" xfId="0" applyFont="1" applyFill="1" applyBorder="1" applyAlignment="1" applyProtection="1">
      <alignment horizontal="left" vertical="top" wrapText="1"/>
      <protection locked="0"/>
    </xf>
    <xf numFmtId="0" fontId="0" fillId="7" borderId="32" xfId="0" applyFill="1" applyBorder="1" applyAlignment="1" applyProtection="1">
      <alignment horizontal="left" vertical="top" wrapText="1"/>
      <protection locked="0"/>
    </xf>
    <xf numFmtId="0" fontId="3" fillId="0" borderId="19" xfId="0" applyFont="1" applyBorder="1" applyAlignment="1">
      <alignment horizontal="center" vertical="top"/>
    </xf>
    <xf numFmtId="0" fontId="3" fillId="0" borderId="26" xfId="0" applyFont="1" applyBorder="1" applyAlignment="1">
      <alignment horizontal="center" vertical="top"/>
    </xf>
    <xf numFmtId="0" fontId="3" fillId="0" borderId="33" xfId="0" applyFont="1" applyBorder="1" applyAlignment="1">
      <alignment horizontal="center" vertical="top"/>
    </xf>
    <xf numFmtId="0" fontId="3" fillId="0" borderId="34" xfId="0" applyFont="1" applyBorder="1" applyAlignment="1">
      <alignment horizontal="center" vertical="top"/>
    </xf>
    <xf numFmtId="0" fontId="3" fillId="0" borderId="35" xfId="0" applyFont="1" applyBorder="1" applyAlignment="1">
      <alignment horizontal="center" vertical="top"/>
    </xf>
    <xf numFmtId="0" fontId="3" fillId="0" borderId="19"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left" vertical="top" wrapText="1"/>
    </xf>
  </cellXfs>
  <cellStyles count="7">
    <cellStyle name="Comma" xfId="1" builtinId="3"/>
    <cellStyle name="Currency" xfId="2" builtinId="4"/>
    <cellStyle name="Hyperlink" xfId="3" builtinId="8"/>
    <cellStyle name="Normal" xfId="0" builtinId="0"/>
    <cellStyle name="Normal 2" xfId="6" xr:uid="{00000000-0005-0000-0000-000004000000}"/>
    <cellStyle name="Normal_Sheet3" xfId="4" xr:uid="{00000000-0005-0000-0000-000005000000}"/>
    <cellStyle name="Percent" xfId="5" builtinId="5"/>
  </cellStyles>
  <dxfs count="85">
    <dxf>
      <numFmt numFmtId="175" formatCode="&quot;$&quot;#,##0.00"/>
    </dxf>
    <dxf>
      <numFmt numFmtId="176" formatCode="&quot;$&quot;#,##0.000"/>
    </dxf>
    <dxf>
      <numFmt numFmtId="177" formatCode="&quot;$&quot;#,##0.0000"/>
    </dxf>
    <dxf>
      <font>
        <b/>
        <i val="0"/>
        <color rgb="FFFF0000"/>
      </font>
    </dxf>
    <dxf>
      <font>
        <b/>
        <i val="0"/>
        <color rgb="FFFF0000"/>
      </font>
    </dxf>
    <dxf>
      <font>
        <b val="0"/>
        <i val="0"/>
        <color rgb="FFFF0000"/>
      </font>
    </dxf>
    <dxf>
      <numFmt numFmtId="177" formatCode="&quot;$&quot;#,##0.0000"/>
    </dxf>
    <dxf>
      <numFmt numFmtId="178" formatCode="&quot;$&quot;#,##0.00000"/>
    </dxf>
    <dxf>
      <numFmt numFmtId="179" formatCode="&quot;$&quot;#,##0.000000"/>
    </dxf>
    <dxf>
      <numFmt numFmtId="180" formatCode="&quot;$&quot;#,##0.0000000"/>
    </dxf>
    <dxf>
      <numFmt numFmtId="175" formatCode="&quot;$&quot;#,##0.00"/>
    </dxf>
    <dxf>
      <numFmt numFmtId="176" formatCode="&quot;$&quot;#,##0.000"/>
    </dxf>
    <dxf>
      <numFmt numFmtId="177" formatCode="&quot;$&quot;#,##0.0000"/>
    </dxf>
    <dxf>
      <font>
        <color theme="1"/>
      </font>
    </dxf>
    <dxf>
      <font>
        <color theme="0"/>
      </font>
    </dxf>
    <dxf>
      <font>
        <color theme="1"/>
      </font>
    </dxf>
    <dxf>
      <font>
        <color theme="1"/>
      </font>
    </dxf>
    <dxf>
      <font>
        <color theme="1"/>
      </font>
    </dxf>
    <dxf>
      <font>
        <color theme="1"/>
      </font>
    </dxf>
    <dxf>
      <font>
        <color theme="1"/>
      </font>
    </dxf>
    <dxf>
      <font>
        <color theme="1"/>
      </font>
    </dxf>
    <dxf>
      <font>
        <color theme="1"/>
      </font>
    </dxf>
    <dxf>
      <font>
        <color theme="1"/>
      </font>
    </dxf>
    <dxf>
      <font>
        <color auto="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0"/>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rgb="FFFF0000"/>
      </font>
    </dxf>
    <dxf>
      <font>
        <color rgb="FFFF0000"/>
      </font>
    </dxf>
    <dxf>
      <font>
        <color rgb="FFFF0000"/>
      </font>
    </dxf>
    <dxf>
      <font>
        <color rgb="FFFF0000"/>
      </font>
    </dxf>
    <dxf>
      <font>
        <color rgb="FFFF0000"/>
      </font>
    </dxf>
    <dxf>
      <fill>
        <patternFill patternType="none">
          <bgColor indexed="65"/>
        </patternFill>
      </fill>
      <border>
        <bottom/>
      </border>
    </dxf>
    <dxf>
      <fill>
        <patternFill patternType="none">
          <bgColor indexed="65"/>
        </patternFill>
      </fill>
      <border>
        <left/>
        <right/>
        <top/>
        <bottom/>
      </border>
    </dxf>
    <dxf>
      <fill>
        <patternFill>
          <bgColor indexed="9"/>
        </patternFill>
      </fill>
      <border>
        <left/>
        <right/>
        <top/>
        <bottom/>
      </border>
    </dxf>
    <dxf>
      <fill>
        <patternFill patternType="solid">
          <bgColor indexed="9"/>
        </patternFill>
      </fill>
      <border>
        <bottom/>
      </border>
    </dxf>
    <dxf>
      <fill>
        <patternFill patternType="none">
          <bgColor indexed="65"/>
        </patternFill>
      </fill>
      <border>
        <bottom/>
      </border>
    </dxf>
    <dxf>
      <fill>
        <patternFill patternType="none">
          <bgColor indexed="65"/>
        </patternFill>
      </fill>
      <border>
        <top/>
        <bottom/>
      </border>
    </dxf>
    <dxf>
      <font>
        <color theme="9" tint="-0.24994659260841701"/>
      </font>
    </dxf>
    <dxf>
      <font>
        <color theme="1"/>
      </font>
    </dxf>
    <dxf>
      <font>
        <color theme="9" tint="-0.24994659260841701"/>
      </font>
    </dxf>
    <dxf>
      <font>
        <color theme="1"/>
      </font>
    </dxf>
    <dxf>
      <font>
        <color theme="9" tint="-0.24994659260841701"/>
      </font>
    </dxf>
    <dxf>
      <font>
        <color theme="1"/>
      </font>
    </dxf>
    <dxf>
      <fill>
        <patternFill>
          <bgColor indexed="9"/>
        </patternFill>
      </fill>
      <border>
        <bottom style="thin">
          <color indexed="64"/>
        </bottom>
      </border>
    </dxf>
    <dxf>
      <font>
        <color theme="9" tint="-0.24994659260841701"/>
      </font>
    </dxf>
    <dxf>
      <font>
        <color theme="1"/>
      </font>
    </dxf>
    <dxf>
      <font>
        <color theme="9" tint="-0.24994659260841701"/>
      </font>
    </dxf>
    <dxf>
      <font>
        <color auto="1"/>
      </font>
    </dxf>
    <dxf>
      <fill>
        <patternFill>
          <bgColor indexed="9"/>
        </patternFill>
      </fill>
      <border>
        <bottom style="thin">
          <color indexed="64"/>
        </bottom>
      </border>
    </dxf>
    <dxf>
      <font>
        <condense val="0"/>
        <extend val="0"/>
        <color indexed="9"/>
      </font>
    </dxf>
    <dxf>
      <font>
        <condense val="0"/>
        <extend val="0"/>
        <color indexed="42"/>
      </font>
    </dxf>
    <dxf>
      <font>
        <condense val="0"/>
        <extend val="0"/>
        <color indexed="9"/>
      </font>
      <border>
        <top/>
      </border>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15</xdr:col>
      <xdr:colOff>9524</xdr:colOff>
      <xdr:row>13</xdr:row>
      <xdr:rowOff>57149</xdr:rowOff>
    </xdr:from>
    <xdr:to>
      <xdr:col>16</xdr:col>
      <xdr:colOff>266699</xdr:colOff>
      <xdr:row>17</xdr:row>
      <xdr:rowOff>47624</xdr:rowOff>
    </xdr:to>
    <xdr:pic macro="[0]!printmacro">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39249" y="2514599"/>
          <a:ext cx="866775" cy="866775"/>
        </a:xfrm>
        <a:prstGeom prst="rect">
          <a:avLst/>
        </a:prstGeom>
      </xdr:spPr>
    </xdr:pic>
    <xdr:clientData/>
  </xdr:twoCellAnchor>
  <xdr:twoCellAnchor>
    <xdr:from>
      <xdr:col>0</xdr:col>
      <xdr:colOff>19049</xdr:colOff>
      <xdr:row>39</xdr:row>
      <xdr:rowOff>38099</xdr:rowOff>
    </xdr:from>
    <xdr:to>
      <xdr:col>16</xdr:col>
      <xdr:colOff>485774</xdr:colOff>
      <xdr:row>46</xdr:row>
      <xdr:rowOff>123824</xdr:rowOff>
    </xdr:to>
    <xdr:sp macro="" textlink="">
      <xdr:nvSpPr>
        <xdr:cNvPr id="30" name="Text Box 50">
          <a:extLst>
            <a:ext uri="{FF2B5EF4-FFF2-40B4-BE49-F238E27FC236}">
              <a16:creationId xmlns:a16="http://schemas.microsoft.com/office/drawing/2014/main" id="{00000000-0008-0000-0000-00001E000000}"/>
            </a:ext>
          </a:extLst>
        </xdr:cNvPr>
        <xdr:cNvSpPr txBox="1">
          <a:spLocks noChangeArrowheads="1"/>
        </xdr:cNvSpPr>
      </xdr:nvSpPr>
      <xdr:spPr bwMode="auto">
        <a:xfrm>
          <a:off x="19049" y="5791199"/>
          <a:ext cx="10220325" cy="1419225"/>
        </a:xfrm>
        <a:prstGeom prst="rect">
          <a:avLst/>
        </a:prstGeom>
        <a:noFill/>
        <a:ln>
          <a:noFill/>
        </a:ln>
        <a:effectLst>
          <a:softEdge rad="31750"/>
        </a:effec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1</xdr:col>
      <xdr:colOff>552450</xdr:colOff>
      <xdr:row>0</xdr:row>
      <xdr:rowOff>38100</xdr:rowOff>
    </xdr:from>
    <xdr:to>
      <xdr:col>16</xdr:col>
      <xdr:colOff>265870</xdr:colOff>
      <xdr:row>11</xdr:row>
      <xdr:rowOff>144116</xdr:rowOff>
    </xdr:to>
    <xdr:grpSp>
      <xdr:nvGrpSpPr>
        <xdr:cNvPr id="9" name="Group 8">
          <a:extLst>
            <a:ext uri="{FF2B5EF4-FFF2-40B4-BE49-F238E27FC236}">
              <a16:creationId xmlns:a16="http://schemas.microsoft.com/office/drawing/2014/main" id="{00000000-0008-0000-0000-000009000000}"/>
            </a:ext>
          </a:extLst>
        </xdr:cNvPr>
        <xdr:cNvGrpSpPr/>
      </xdr:nvGrpSpPr>
      <xdr:grpSpPr>
        <a:xfrm>
          <a:off x="114300" y="38100"/>
          <a:ext cx="8885995" cy="2211041"/>
          <a:chOff x="7686675" y="3581400"/>
          <a:chExt cx="8857420" cy="1915766"/>
        </a:xfrm>
      </xdr:grpSpPr>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AA$1">
        <xdr:nvSpPr>
          <xdr:cNvPr id="11" name="Rectangle 10">
            <a:extLst>
              <a:ext uri="{FF2B5EF4-FFF2-40B4-BE49-F238E27FC236}">
                <a16:creationId xmlns:a16="http://schemas.microsoft.com/office/drawing/2014/main" id="{00000000-0008-0000-0000-00000B000000}"/>
              </a:ext>
            </a:extLst>
          </xdr:cNvPr>
          <xdr:cNvSpPr/>
        </xdr:nvSpPr>
        <xdr:spPr>
          <a:xfrm>
            <a:off x="7833320"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CF5F8229-D925-47B8-BDC7-E2084076D119}" type="TxLink">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3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000-00000D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xdr:colOff>
      <xdr:row>0</xdr:row>
      <xdr:rowOff>76200</xdr:rowOff>
    </xdr:from>
    <xdr:to>
      <xdr:col>21</xdr:col>
      <xdr:colOff>539750</xdr:colOff>
      <xdr:row>12</xdr:row>
      <xdr:rowOff>48866</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66675" y="76200"/>
          <a:ext cx="12969875" cy="1915766"/>
          <a:chOff x="7686675" y="3581400"/>
          <a:chExt cx="8857420" cy="1915766"/>
        </a:xfrm>
      </xdr:grpSpPr>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B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F44CAAE9-F5EB-4B8A-BDB8-ECF1F352A1E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B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xdr:colOff>
      <xdr:row>0</xdr:row>
      <xdr:rowOff>38101</xdr:rowOff>
    </xdr:from>
    <xdr:to>
      <xdr:col>11</xdr:col>
      <xdr:colOff>309563</xdr:colOff>
      <xdr:row>9</xdr:row>
      <xdr:rowOff>142875</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28575" y="38101"/>
          <a:ext cx="8579644" cy="1604962"/>
          <a:chOff x="7713987" y="3619500"/>
          <a:chExt cx="8857420" cy="1915766"/>
        </a:xfrm>
      </xdr:grpSpPr>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713987" y="36195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C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AEFE1D04-8602-475C-932C-0C61643AA32E}"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C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9526</xdr:colOff>
      <xdr:row>0</xdr:row>
      <xdr:rowOff>85725</xdr:rowOff>
    </xdr:from>
    <xdr:to>
      <xdr:col>9</xdr:col>
      <xdr:colOff>66675</xdr:colOff>
      <xdr:row>12</xdr:row>
      <xdr:rowOff>123825</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190501" y="85725"/>
          <a:ext cx="9210674" cy="1981200"/>
          <a:chOff x="7713987" y="3619500"/>
          <a:chExt cx="8857420" cy="1915766"/>
        </a:xfrm>
      </xdr:grpSpPr>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713987" y="36195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D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0DBABC1-60CB-4BB9-BAA2-17DF444EF442}" type="TxLink">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3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D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66675</xdr:colOff>
      <xdr:row>0</xdr:row>
      <xdr:rowOff>76201</xdr:rowOff>
    </xdr:from>
    <xdr:to>
      <xdr:col>28</xdr:col>
      <xdr:colOff>66675</xdr:colOff>
      <xdr:row>13</xdr:row>
      <xdr:rowOff>47626</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66675" y="76201"/>
          <a:ext cx="14192250" cy="2076450"/>
          <a:chOff x="7686675" y="3581400"/>
          <a:chExt cx="8857420" cy="1915766"/>
        </a:xfrm>
      </xdr:grpSpPr>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E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3B3CF15F-7D4D-4290-B99E-5B23C2B7FD77}" type="TxLink">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3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E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84667</xdr:colOff>
      <xdr:row>0</xdr:row>
      <xdr:rowOff>63500</xdr:rowOff>
    </xdr:from>
    <xdr:to>
      <xdr:col>6</xdr:col>
      <xdr:colOff>930504</xdr:colOff>
      <xdr:row>12</xdr:row>
      <xdr:rowOff>74266</xdr:rowOff>
    </xdr:to>
    <xdr:grpSp>
      <xdr:nvGrpSpPr>
        <xdr:cNvPr id="6" name="Group 5">
          <a:extLst>
            <a:ext uri="{FF2B5EF4-FFF2-40B4-BE49-F238E27FC236}">
              <a16:creationId xmlns:a16="http://schemas.microsoft.com/office/drawing/2014/main" id="{00000000-0008-0000-0F00-000006000000}"/>
            </a:ext>
          </a:extLst>
        </xdr:cNvPr>
        <xdr:cNvGrpSpPr/>
      </xdr:nvGrpSpPr>
      <xdr:grpSpPr>
        <a:xfrm>
          <a:off x="84667" y="63500"/>
          <a:ext cx="8846837" cy="1915766"/>
          <a:chOff x="7686675" y="3581400"/>
          <a:chExt cx="8857420" cy="1915766"/>
        </a:xfrm>
      </xdr:grpSpPr>
      <xdr:pic>
        <xdr:nvPicPr>
          <xdr:cNvPr id="7" name="Picture 6">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F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EE2482AD-F2E4-4732-AE5F-509974AB257D}"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F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47625</xdr:rowOff>
    </xdr:from>
    <xdr:to>
      <xdr:col>14</xdr:col>
      <xdr:colOff>380170</xdr:colOff>
      <xdr:row>8</xdr:row>
      <xdr:rowOff>182216</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57150" y="47625"/>
          <a:ext cx="8828845" cy="1915766"/>
          <a:chOff x="7686675" y="3581400"/>
          <a:chExt cx="8857420" cy="1915766"/>
        </a:xfrm>
      </xdr:grpSpPr>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1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9D3574B8-F8B4-4C40-B845-E7B55503BEBB}"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1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19050</xdr:rowOff>
    </xdr:from>
    <xdr:to>
      <xdr:col>18</xdr:col>
      <xdr:colOff>113470</xdr:colOff>
      <xdr:row>7</xdr:row>
      <xdr:rowOff>248891</xdr:rowOff>
    </xdr:to>
    <xdr:grpSp>
      <xdr:nvGrpSpPr>
        <xdr:cNvPr id="6" name="Group 5">
          <a:extLst>
            <a:ext uri="{FF2B5EF4-FFF2-40B4-BE49-F238E27FC236}">
              <a16:creationId xmlns:a16="http://schemas.microsoft.com/office/drawing/2014/main" id="{00000000-0008-0000-0200-000006000000}"/>
            </a:ext>
          </a:extLst>
        </xdr:cNvPr>
        <xdr:cNvGrpSpPr/>
      </xdr:nvGrpSpPr>
      <xdr:grpSpPr>
        <a:xfrm>
          <a:off x="28575" y="19050"/>
          <a:ext cx="8857420" cy="1915766"/>
          <a:chOff x="7686675" y="3581400"/>
          <a:chExt cx="8857420" cy="1915766"/>
        </a:xfrm>
      </xdr:grpSpPr>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2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AFA5ACA3-9B93-4349-A01B-C817564EDD43}"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2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22</xdr:col>
      <xdr:colOff>446845</xdr:colOff>
      <xdr:row>4</xdr:row>
      <xdr:rowOff>48866</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0" y="0"/>
          <a:ext cx="8857420" cy="1915766"/>
          <a:chOff x="7686675" y="3581400"/>
          <a:chExt cx="8857420" cy="1915766"/>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4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D707144-926F-49A9-8066-518FEA7A3279}"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4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542925</xdr:colOff>
      <xdr:row>40</xdr:row>
      <xdr:rowOff>28575</xdr:rowOff>
    </xdr:from>
    <xdr:to>
      <xdr:col>5</xdr:col>
      <xdr:colOff>762000</xdr:colOff>
      <xdr:row>42</xdr:row>
      <xdr:rowOff>19050</xdr:rowOff>
    </xdr:to>
    <xdr:grpSp>
      <xdr:nvGrpSpPr>
        <xdr:cNvPr id="4113" name="Group 17">
          <a:extLst>
            <a:ext uri="{FF2B5EF4-FFF2-40B4-BE49-F238E27FC236}">
              <a16:creationId xmlns:a16="http://schemas.microsoft.com/office/drawing/2014/main" id="{00000000-0008-0000-0500-000011100000}"/>
            </a:ext>
          </a:extLst>
        </xdr:cNvPr>
        <xdr:cNvGrpSpPr>
          <a:grpSpLocks/>
        </xdr:cNvGrpSpPr>
      </xdr:nvGrpSpPr>
      <xdr:grpSpPr bwMode="auto">
        <a:xfrm>
          <a:off x="733425" y="7639050"/>
          <a:ext cx="2686050" cy="314325"/>
          <a:chOff x="614" y="394"/>
          <a:chExt cx="197" cy="36"/>
        </a:xfrm>
      </xdr:grpSpPr>
      <xdr:pic>
        <xdr:nvPicPr>
          <xdr:cNvPr id="4114" name="Picture 18">
            <a:extLst>
              <a:ext uri="{FF2B5EF4-FFF2-40B4-BE49-F238E27FC236}">
                <a16:creationId xmlns:a16="http://schemas.microsoft.com/office/drawing/2014/main" id="{00000000-0008-0000-0500-000012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5937" t="68555" r="12968" b="23633"/>
          <a:stretch>
            <a:fillRect/>
          </a:stretch>
        </xdr:blipFill>
        <xdr:spPr bwMode="auto">
          <a:xfrm>
            <a:off x="614" y="394"/>
            <a:ext cx="197" cy="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4115" name="Text Box 19">
            <a:extLst>
              <a:ext uri="{FF2B5EF4-FFF2-40B4-BE49-F238E27FC236}">
                <a16:creationId xmlns:a16="http://schemas.microsoft.com/office/drawing/2014/main" id="{00000000-0008-0000-0500-000013100000}"/>
              </a:ext>
            </a:extLst>
          </xdr:cNvPr>
          <xdr:cNvSpPr txBox="1">
            <a:spLocks noChangeArrowheads="1"/>
          </xdr:cNvSpPr>
        </xdr:nvSpPr>
        <xdr:spPr bwMode="auto">
          <a:xfrm>
            <a:off x="618" y="400"/>
            <a:ext cx="188"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CA" sz="1200" b="1" i="0" u="none" strike="noStrike" baseline="0">
                <a:solidFill>
                  <a:srgbClr val="000000"/>
                </a:solidFill>
                <a:latin typeface="+mj-lt"/>
              </a:rPr>
              <a:t>Other Revenues / Revenue Offsets</a:t>
            </a:r>
          </a:p>
        </xdr:txBody>
      </xdr:sp>
    </xdr:grpSp>
    <xdr:clientData/>
  </xdr:twoCellAnchor>
  <xdr:twoCellAnchor>
    <xdr:from>
      <xdr:col>0</xdr:col>
      <xdr:colOff>0</xdr:colOff>
      <xdr:row>0</xdr:row>
      <xdr:rowOff>0</xdr:rowOff>
    </xdr:from>
    <xdr:to>
      <xdr:col>21</xdr:col>
      <xdr:colOff>275395</xdr:colOff>
      <xdr:row>9</xdr:row>
      <xdr:rowOff>67916</xdr:rowOff>
    </xdr:to>
    <xdr:grpSp>
      <xdr:nvGrpSpPr>
        <xdr:cNvPr id="9" name="Group 8">
          <a:extLst>
            <a:ext uri="{FF2B5EF4-FFF2-40B4-BE49-F238E27FC236}">
              <a16:creationId xmlns:a16="http://schemas.microsoft.com/office/drawing/2014/main" id="{00000000-0008-0000-0500-000009000000}"/>
            </a:ext>
          </a:extLst>
        </xdr:cNvPr>
        <xdr:cNvGrpSpPr/>
      </xdr:nvGrpSpPr>
      <xdr:grpSpPr>
        <a:xfrm>
          <a:off x="0" y="0"/>
          <a:ext cx="8695495" cy="1915766"/>
          <a:chOff x="7686675" y="3581400"/>
          <a:chExt cx="8857420" cy="1915766"/>
        </a:xfrm>
      </xdr:grpSpPr>
      <xdr:pic>
        <xdr:nvPicPr>
          <xdr:cNvPr id="10" name="Picture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11" name="Rectangle 10">
            <a:extLst>
              <a:ext uri="{FF2B5EF4-FFF2-40B4-BE49-F238E27FC236}">
                <a16:creationId xmlns:a16="http://schemas.microsoft.com/office/drawing/2014/main" id="{00000000-0008-0000-0500-00000B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F012EB29-BC06-4F8B-85ED-1E0B84B668A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500-00000D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275395</xdr:colOff>
      <xdr:row>7</xdr:row>
      <xdr:rowOff>125066</xdr:rowOff>
    </xdr:to>
    <xdr:grpSp>
      <xdr:nvGrpSpPr>
        <xdr:cNvPr id="6" name="Group 5">
          <a:extLst>
            <a:ext uri="{FF2B5EF4-FFF2-40B4-BE49-F238E27FC236}">
              <a16:creationId xmlns:a16="http://schemas.microsoft.com/office/drawing/2014/main" id="{00000000-0008-0000-0600-000006000000}"/>
            </a:ext>
          </a:extLst>
        </xdr:cNvPr>
        <xdr:cNvGrpSpPr/>
      </xdr:nvGrpSpPr>
      <xdr:grpSpPr>
        <a:xfrm>
          <a:off x="0" y="0"/>
          <a:ext cx="8857420" cy="1915766"/>
          <a:chOff x="7686675" y="3581400"/>
          <a:chExt cx="8857420" cy="1915766"/>
        </a:xfrm>
      </xdr:grpSpPr>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6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C3A440F-B6AB-4D5E-AE64-386EA95E02A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6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0</xdr:row>
      <xdr:rowOff>0</xdr:rowOff>
    </xdr:from>
    <xdr:to>
      <xdr:col>21</xdr:col>
      <xdr:colOff>65845</xdr:colOff>
      <xdr:row>4</xdr:row>
      <xdr:rowOff>48866</xdr:rowOff>
    </xdr:to>
    <xdr:grpSp>
      <xdr:nvGrpSpPr>
        <xdr:cNvPr id="6" name="Group 5">
          <a:extLst>
            <a:ext uri="{FF2B5EF4-FFF2-40B4-BE49-F238E27FC236}">
              <a16:creationId xmlns:a16="http://schemas.microsoft.com/office/drawing/2014/main" id="{00000000-0008-0000-0700-000006000000}"/>
            </a:ext>
          </a:extLst>
        </xdr:cNvPr>
        <xdr:cNvGrpSpPr/>
      </xdr:nvGrpSpPr>
      <xdr:grpSpPr>
        <a:xfrm>
          <a:off x="19050" y="0"/>
          <a:ext cx="8857420" cy="1915766"/>
          <a:chOff x="7686675" y="3581400"/>
          <a:chExt cx="8857420" cy="1915766"/>
        </a:xfrm>
      </xdr:grpSpPr>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7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91FCF71E-2D08-4E69-BCA2-F63C9D7757BE}"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7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275395</xdr:colOff>
      <xdr:row>8</xdr:row>
      <xdr:rowOff>29816</xdr:rowOff>
    </xdr:to>
    <xdr:grpSp>
      <xdr:nvGrpSpPr>
        <xdr:cNvPr id="6" name="Group 5">
          <a:extLst>
            <a:ext uri="{FF2B5EF4-FFF2-40B4-BE49-F238E27FC236}">
              <a16:creationId xmlns:a16="http://schemas.microsoft.com/office/drawing/2014/main" id="{00000000-0008-0000-0800-000006000000}"/>
            </a:ext>
          </a:extLst>
        </xdr:cNvPr>
        <xdr:cNvGrpSpPr/>
      </xdr:nvGrpSpPr>
      <xdr:grpSpPr>
        <a:xfrm>
          <a:off x="0" y="0"/>
          <a:ext cx="8857420" cy="1915766"/>
          <a:chOff x="7686675" y="3581400"/>
          <a:chExt cx="8857420" cy="1915766"/>
        </a:xfrm>
      </xdr:grpSpPr>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8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1BF7B54A-E567-44D4-9102-930193B662E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8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57151</xdr:colOff>
      <xdr:row>0</xdr:row>
      <xdr:rowOff>57151</xdr:rowOff>
    </xdr:from>
    <xdr:to>
      <xdr:col>17</xdr:col>
      <xdr:colOff>28575</xdr:colOff>
      <xdr:row>8</xdr:row>
      <xdr:rowOff>41856</xdr:rowOff>
    </xdr:to>
    <xdr:grpSp>
      <xdr:nvGrpSpPr>
        <xdr:cNvPr id="6" name="Group 5">
          <a:extLst>
            <a:ext uri="{FF2B5EF4-FFF2-40B4-BE49-F238E27FC236}">
              <a16:creationId xmlns:a16="http://schemas.microsoft.com/office/drawing/2014/main" id="{00000000-0008-0000-0900-000006000000}"/>
            </a:ext>
          </a:extLst>
        </xdr:cNvPr>
        <xdr:cNvGrpSpPr/>
      </xdr:nvGrpSpPr>
      <xdr:grpSpPr>
        <a:xfrm>
          <a:off x="57151" y="57151"/>
          <a:ext cx="8562974" cy="1670630"/>
          <a:chOff x="7686675" y="3581400"/>
          <a:chExt cx="8857420" cy="1915766"/>
        </a:xfrm>
      </xdr:grpSpPr>
      <xdr:pic>
        <xdr:nvPicPr>
          <xdr:cNvPr id="7" name="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9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89CA8C7-EFFB-4B41-988A-86A190EE366D}"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9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OEB/_Documents/2013EDR/Final%202013%20IRM%20R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apicd@miltonhydro.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AG114"/>
  <sheetViews>
    <sheetView showGridLines="0" zoomScaleNormal="100" zoomScaleSheetLayoutView="100" workbookViewId="0">
      <selection activeCell="L24" sqref="L24"/>
    </sheetView>
  </sheetViews>
  <sheetFormatPr defaultColWidth="9.140625" defaultRowHeight="12.75" x14ac:dyDescent="0.2"/>
  <cols>
    <col min="1" max="2" width="0.85546875" style="5" customWidth="1"/>
    <col min="3" max="4" width="9.140625" style="5"/>
    <col min="5" max="5" width="9.140625" style="5" customWidth="1"/>
    <col min="6" max="6" width="10.42578125" style="5" customWidth="1"/>
    <col min="7" max="21" width="9.140625" style="5"/>
    <col min="22" max="25" width="9.140625" style="5" customWidth="1"/>
    <col min="26" max="26" width="3.42578125" style="273" customWidth="1"/>
    <col min="27" max="27" width="46.5703125" style="273" hidden="1" customWidth="1"/>
    <col min="28" max="28" width="42.85546875" style="273" customWidth="1"/>
    <col min="29" max="29" width="16.42578125" style="273" customWidth="1"/>
    <col min="30" max="30" width="13.42578125" style="273" customWidth="1"/>
    <col min="31" max="31" width="13.85546875" style="274" customWidth="1"/>
    <col min="32" max="32" width="24.5703125" style="274" customWidth="1"/>
    <col min="33" max="16384" width="9.140625" style="5"/>
  </cols>
  <sheetData>
    <row r="1" spans="3:33" ht="38.25" x14ac:dyDescent="0.2">
      <c r="C1" s="751"/>
      <c r="D1" s="751"/>
      <c r="E1" s="751"/>
      <c r="F1" s="751"/>
      <c r="G1" s="751"/>
      <c r="H1" s="751"/>
      <c r="I1" s="751"/>
      <c r="J1" s="751"/>
      <c r="K1" s="751"/>
      <c r="L1" s="751"/>
      <c r="M1" s="751"/>
      <c r="AA1" s="739" t="s">
        <v>487</v>
      </c>
      <c r="AC1" s="273" t="str">
        <f>IF('3. Data_Input_Sheet'!M12=0, "", '3. Data_Input_Sheet'!M12)</f>
        <v/>
      </c>
    </row>
    <row r="2" spans="3:33" x14ac:dyDescent="0.2">
      <c r="C2" s="751"/>
      <c r="D2" s="751"/>
      <c r="E2" s="751"/>
      <c r="F2" s="751"/>
      <c r="G2" s="751"/>
      <c r="H2" s="751"/>
      <c r="I2" s="751"/>
      <c r="J2" s="751"/>
      <c r="K2" s="751"/>
      <c r="L2" s="751"/>
      <c r="M2" s="751"/>
      <c r="AA2" s="273">
        <v>1</v>
      </c>
      <c r="AE2" s="273"/>
      <c r="AF2" s="273"/>
      <c r="AG2" s="273"/>
    </row>
    <row r="3" spans="3:33" x14ac:dyDescent="0.2">
      <c r="C3" s="751"/>
      <c r="D3" s="751"/>
      <c r="E3" s="751"/>
      <c r="F3" s="751"/>
      <c r="G3" s="751"/>
      <c r="H3" s="751"/>
      <c r="I3" s="751"/>
      <c r="J3" s="751"/>
      <c r="K3" s="751"/>
      <c r="L3" s="751"/>
      <c r="M3" s="751"/>
    </row>
    <row r="4" spans="3:33" x14ac:dyDescent="0.2">
      <c r="C4" s="751"/>
      <c r="D4" s="751"/>
      <c r="E4" s="751"/>
      <c r="F4" s="751"/>
      <c r="G4" s="751"/>
      <c r="H4" s="751"/>
      <c r="I4" s="751"/>
      <c r="J4" s="751"/>
      <c r="K4" s="751"/>
      <c r="L4" s="751"/>
      <c r="M4" s="751"/>
    </row>
    <row r="13" spans="3:33" ht="15" x14ac:dyDescent="0.25">
      <c r="P13" s="359" t="s">
        <v>228</v>
      </c>
      <c r="Q13" s="360">
        <f>$AA$2</f>
        <v>1</v>
      </c>
    </row>
    <row r="15" spans="3:33" ht="13.5" thickBot="1" x14ac:dyDescent="0.25"/>
    <row r="16" spans="3:33" ht="29.25" customHeight="1" thickTop="1" thickBot="1" x14ac:dyDescent="0.25">
      <c r="F16" s="363" t="s">
        <v>229</v>
      </c>
      <c r="G16" s="754" t="s">
        <v>465</v>
      </c>
      <c r="H16" s="755"/>
      <c r="I16" s="755"/>
      <c r="J16" s="755"/>
      <c r="K16" s="755"/>
      <c r="L16" s="755"/>
      <c r="M16" s="756"/>
    </row>
    <row r="17" spans="2:32" ht="13.5" thickBot="1" x14ac:dyDescent="0.25">
      <c r="F17" s="364"/>
      <c r="G17" s="195"/>
      <c r="H17" s="196"/>
      <c r="I17" s="195"/>
      <c r="J17" s="195"/>
      <c r="K17" s="195"/>
    </row>
    <row r="18" spans="2:32" ht="16.5" thickTop="1" thickBot="1" x14ac:dyDescent="0.25">
      <c r="F18" s="365" t="s">
        <v>230</v>
      </c>
      <c r="G18" s="757" t="s">
        <v>493</v>
      </c>
      <c r="H18" s="758"/>
      <c r="I18" s="758"/>
      <c r="J18" s="758"/>
      <c r="K18" s="759"/>
    </row>
    <row r="19" spans="2:32" ht="15" thickBot="1" x14ac:dyDescent="0.25">
      <c r="F19" s="366"/>
    </row>
    <row r="20" spans="2:32" ht="18" thickTop="1" thickBot="1" x14ac:dyDescent="0.35">
      <c r="C20" s="275"/>
      <c r="F20" s="365" t="s">
        <v>231</v>
      </c>
      <c r="G20" s="760" t="s">
        <v>492</v>
      </c>
      <c r="H20" s="761"/>
      <c r="I20" s="761"/>
      <c r="J20" s="761"/>
      <c r="K20" s="762"/>
      <c r="Z20" s="276"/>
      <c r="AA20" s="276" t="s">
        <v>199</v>
      </c>
      <c r="AB20" s="276"/>
      <c r="AC20" s="276"/>
      <c r="AD20" s="276"/>
      <c r="AE20" s="277"/>
      <c r="AF20" s="277"/>
    </row>
    <row r="21" spans="2:32" ht="15" thickBot="1" x14ac:dyDescent="0.25">
      <c r="F21" s="366"/>
      <c r="Z21" s="273">
        <v>1</v>
      </c>
      <c r="AA21" s="726" t="s">
        <v>450</v>
      </c>
      <c r="AE21" s="279"/>
      <c r="AF21" s="280"/>
    </row>
    <row r="22" spans="2:32" ht="18" thickTop="1" thickBot="1" x14ac:dyDescent="0.35">
      <c r="B22" s="749"/>
      <c r="C22" s="749"/>
      <c r="D22" s="29"/>
      <c r="F22" s="365" t="s">
        <v>232</v>
      </c>
      <c r="G22" s="760" t="s">
        <v>489</v>
      </c>
      <c r="H22" s="761"/>
      <c r="I22" s="761"/>
      <c r="J22" s="761"/>
      <c r="K22" s="762"/>
      <c r="Z22" s="273">
        <v>2</v>
      </c>
      <c r="AA22" s="726" t="s">
        <v>451</v>
      </c>
      <c r="AE22" s="279"/>
      <c r="AF22" s="280"/>
    </row>
    <row r="23" spans="2:32" ht="17.25" thickBot="1" x14ac:dyDescent="0.35">
      <c r="B23" s="29"/>
      <c r="C23" s="361"/>
      <c r="D23" s="29"/>
      <c r="F23" s="367"/>
      <c r="G23" s="195"/>
      <c r="H23" s="196"/>
      <c r="I23" s="195"/>
      <c r="J23" s="195"/>
      <c r="K23" s="195"/>
      <c r="Z23" s="273">
        <v>3</v>
      </c>
      <c r="AA23" s="726" t="s">
        <v>452</v>
      </c>
      <c r="AE23" s="279"/>
      <c r="AF23" s="280"/>
    </row>
    <row r="24" spans="2:32" ht="18" thickTop="1" thickBot="1" x14ac:dyDescent="0.35">
      <c r="B24" s="749"/>
      <c r="C24" s="749"/>
      <c r="D24" s="29"/>
      <c r="F24" s="363" t="s">
        <v>233</v>
      </c>
      <c r="G24" s="760" t="s">
        <v>491</v>
      </c>
      <c r="H24" s="761"/>
      <c r="I24" s="761"/>
      <c r="J24" s="761"/>
      <c r="K24" s="762"/>
      <c r="Z24" s="273">
        <v>4</v>
      </c>
      <c r="AA24" s="726" t="s">
        <v>453</v>
      </c>
      <c r="AE24" s="279"/>
      <c r="AF24" s="280"/>
    </row>
    <row r="25" spans="2:32" ht="17.25" thickBot="1" x14ac:dyDescent="0.35">
      <c r="B25" s="29"/>
      <c r="C25" s="361"/>
      <c r="D25" s="29"/>
      <c r="F25" s="367"/>
      <c r="G25" s="195"/>
      <c r="H25" s="196"/>
      <c r="I25" s="195"/>
      <c r="J25" s="195"/>
      <c r="K25" s="195"/>
      <c r="Z25" s="273">
        <v>5</v>
      </c>
      <c r="AA25" s="726" t="s">
        <v>470</v>
      </c>
      <c r="AE25" s="279"/>
      <c r="AF25" s="280"/>
    </row>
    <row r="26" spans="2:32" ht="18" thickTop="1" thickBot="1" x14ac:dyDescent="0.35">
      <c r="B26" s="749"/>
      <c r="C26" s="749"/>
      <c r="D26" s="749"/>
      <c r="F26" s="363" t="s">
        <v>234</v>
      </c>
      <c r="G26" s="746" t="s">
        <v>490</v>
      </c>
      <c r="H26" s="747"/>
      <c r="I26" s="747"/>
      <c r="J26" s="747"/>
      <c r="K26" s="748"/>
      <c r="Z26" s="273">
        <v>6</v>
      </c>
      <c r="AA26" s="726" t="s">
        <v>162</v>
      </c>
      <c r="AE26" s="279"/>
      <c r="AF26" s="280"/>
    </row>
    <row r="27" spans="2:32" ht="17.25" thickBot="1" x14ac:dyDescent="0.35">
      <c r="B27" s="29"/>
      <c r="C27" s="361"/>
      <c r="D27" s="29"/>
      <c r="E27" s="362"/>
      <c r="F27" s="29"/>
      <c r="G27" s="29"/>
      <c r="H27" s="29"/>
      <c r="I27" s="29"/>
      <c r="J27" s="29"/>
      <c r="Z27" s="273">
        <v>7</v>
      </c>
      <c r="AA27" s="726" t="s">
        <v>163</v>
      </c>
      <c r="AE27" s="279"/>
      <c r="AF27" s="280"/>
    </row>
    <row r="28" spans="2:32" ht="18" thickTop="1" thickBot="1" x14ac:dyDescent="0.35">
      <c r="B28" s="29"/>
      <c r="C28" s="361"/>
      <c r="D28" s="29"/>
      <c r="E28" s="745" t="s">
        <v>355</v>
      </c>
      <c r="F28" s="745"/>
      <c r="G28" s="746">
        <v>2023</v>
      </c>
      <c r="H28" s="747"/>
      <c r="I28" s="747"/>
      <c r="J28" s="747"/>
      <c r="K28" s="748"/>
      <c r="Z28" s="273">
        <v>8</v>
      </c>
      <c r="AA28" s="726" t="s">
        <v>260</v>
      </c>
      <c r="AE28" s="279"/>
      <c r="AF28" s="280"/>
    </row>
    <row r="29" spans="2:32" ht="17.25" thickBot="1" x14ac:dyDescent="0.35">
      <c r="B29" s="29"/>
      <c r="C29" s="361"/>
      <c r="D29" s="29"/>
      <c r="E29" s="362"/>
      <c r="F29" s="29"/>
      <c r="G29" s="29"/>
      <c r="H29" s="29"/>
      <c r="I29" s="29"/>
      <c r="J29" s="29"/>
      <c r="Z29" s="273">
        <v>9</v>
      </c>
      <c r="AA29" s="726" t="s">
        <v>164</v>
      </c>
      <c r="AE29" s="279"/>
      <c r="AF29" s="280"/>
    </row>
    <row r="30" spans="2:32" ht="18" thickTop="1" thickBot="1" x14ac:dyDescent="0.35">
      <c r="B30" s="29"/>
      <c r="C30" s="361"/>
      <c r="D30" s="29"/>
      <c r="E30" s="745" t="s">
        <v>419</v>
      </c>
      <c r="F30" s="745"/>
      <c r="G30" s="746">
        <v>2022</v>
      </c>
      <c r="H30" s="747"/>
      <c r="I30" s="747"/>
      <c r="J30" s="747"/>
      <c r="K30" s="748"/>
      <c r="Z30" s="273">
        <v>10</v>
      </c>
      <c r="AA30" s="726" t="s">
        <v>165</v>
      </c>
      <c r="AE30" s="279"/>
      <c r="AF30" s="280"/>
    </row>
    <row r="31" spans="2:32" ht="17.25" thickBot="1" x14ac:dyDescent="0.35">
      <c r="B31" s="29"/>
      <c r="C31" s="361"/>
      <c r="D31" s="29"/>
      <c r="E31" s="362"/>
      <c r="F31" s="29"/>
      <c r="G31" s="29"/>
      <c r="H31" s="29"/>
      <c r="I31" s="29"/>
      <c r="J31" s="29"/>
      <c r="Z31" s="273">
        <v>11</v>
      </c>
      <c r="AA31" s="726" t="s">
        <v>264</v>
      </c>
      <c r="AE31" s="279"/>
      <c r="AF31" s="280"/>
    </row>
    <row r="32" spans="2:32" ht="18" thickTop="1" thickBot="1" x14ac:dyDescent="0.35">
      <c r="B32" s="29"/>
      <c r="C32" s="361"/>
      <c r="D32" s="29"/>
      <c r="E32" s="745" t="s">
        <v>420</v>
      </c>
      <c r="F32" s="745"/>
      <c r="G32" s="746">
        <v>2016</v>
      </c>
      <c r="H32" s="747"/>
      <c r="I32" s="747"/>
      <c r="J32" s="747"/>
      <c r="K32" s="748"/>
      <c r="Z32" s="273">
        <v>12</v>
      </c>
      <c r="AA32" s="726" t="s">
        <v>166</v>
      </c>
      <c r="AE32" s="279"/>
      <c r="AF32" s="280"/>
    </row>
    <row r="33" spans="1:32" ht="16.5" x14ac:dyDescent="0.3">
      <c r="B33" s="29"/>
      <c r="C33" s="361"/>
      <c r="D33" s="29"/>
      <c r="E33" s="362"/>
      <c r="F33" s="29"/>
      <c r="G33" s="29"/>
      <c r="H33" s="29"/>
      <c r="I33" s="29"/>
      <c r="J33" s="29"/>
      <c r="Z33" s="273">
        <v>13</v>
      </c>
      <c r="AA33" s="726" t="s">
        <v>167</v>
      </c>
      <c r="AE33" s="279"/>
      <c r="AF33" s="280"/>
    </row>
    <row r="34" spans="1:32" ht="16.5" x14ac:dyDescent="0.3">
      <c r="B34" s="29"/>
      <c r="C34" s="361"/>
      <c r="D34" s="29"/>
      <c r="E34" s="362"/>
      <c r="F34" s="29"/>
      <c r="G34" s="29"/>
      <c r="H34" s="29"/>
      <c r="I34" s="29"/>
      <c r="J34" s="29"/>
      <c r="Z34" s="273">
        <v>14</v>
      </c>
      <c r="AA34" s="726" t="s">
        <v>168</v>
      </c>
      <c r="AE34" s="279"/>
      <c r="AF34" s="280"/>
    </row>
    <row r="35" spans="1:32" ht="16.5" x14ac:dyDescent="0.3">
      <c r="B35" s="29"/>
      <c r="C35" s="361"/>
      <c r="D35" s="29"/>
      <c r="E35" s="362"/>
      <c r="F35" s="29"/>
      <c r="G35" s="29"/>
      <c r="H35" s="29"/>
      <c r="I35" s="29"/>
      <c r="J35" s="29"/>
      <c r="Z35" s="273">
        <v>15</v>
      </c>
      <c r="AA35" s="726" t="s">
        <v>169</v>
      </c>
      <c r="AE35" s="279"/>
      <c r="AF35" s="280"/>
    </row>
    <row r="36" spans="1:32" ht="16.5" x14ac:dyDescent="0.3">
      <c r="B36" s="749"/>
      <c r="C36" s="749"/>
      <c r="D36" s="749"/>
      <c r="E36" s="752"/>
      <c r="F36" s="753"/>
      <c r="G36" s="753"/>
      <c r="H36" s="753"/>
      <c r="I36" s="753"/>
      <c r="J36" s="753"/>
      <c r="Z36" s="273">
        <v>16</v>
      </c>
      <c r="AA36" s="726" t="s">
        <v>471</v>
      </c>
      <c r="AE36" s="279"/>
      <c r="AF36" s="280"/>
    </row>
    <row r="37" spans="1:32" ht="59.25" customHeight="1" x14ac:dyDescent="0.2">
      <c r="A37" s="763" t="s">
        <v>417</v>
      </c>
      <c r="B37" s="763"/>
      <c r="C37" s="763"/>
      <c r="D37" s="763"/>
      <c r="E37" s="763"/>
      <c r="F37" s="763"/>
      <c r="G37" s="763"/>
      <c r="H37" s="763"/>
      <c r="I37" s="763"/>
      <c r="J37" s="763"/>
      <c r="K37" s="763"/>
      <c r="L37" s="763"/>
      <c r="M37" s="763"/>
      <c r="N37" s="763"/>
      <c r="O37" s="763"/>
      <c r="P37" s="763"/>
      <c r="Q37" s="763"/>
      <c r="Z37" s="273">
        <v>17</v>
      </c>
      <c r="AA37" s="726" t="s">
        <v>472</v>
      </c>
      <c r="AE37" s="279"/>
      <c r="AF37" s="280"/>
    </row>
    <row r="38" spans="1:32" ht="9" customHeight="1" x14ac:dyDescent="0.2">
      <c r="Z38" s="273">
        <v>18</v>
      </c>
      <c r="AA38" s="726" t="s">
        <v>475</v>
      </c>
      <c r="AE38" s="279"/>
      <c r="AF38" s="280"/>
    </row>
    <row r="39" spans="1:32" ht="9" customHeight="1" x14ac:dyDescent="0.2">
      <c r="Z39" s="273">
        <v>19</v>
      </c>
      <c r="AA39" s="726" t="s">
        <v>457</v>
      </c>
      <c r="AE39" s="279"/>
      <c r="AF39" s="280"/>
    </row>
    <row r="40" spans="1:32" x14ac:dyDescent="0.2">
      <c r="Z40" s="273">
        <v>20</v>
      </c>
      <c r="AA40" s="726" t="s">
        <v>454</v>
      </c>
      <c r="AE40" s="279"/>
      <c r="AF40" s="280"/>
    </row>
    <row r="41" spans="1:32" x14ac:dyDescent="0.2">
      <c r="Z41" s="273">
        <v>21</v>
      </c>
      <c r="AA41" s="726" t="s">
        <v>170</v>
      </c>
      <c r="AE41" s="279"/>
      <c r="AF41" s="280"/>
    </row>
    <row r="42" spans="1:32" x14ac:dyDescent="0.2">
      <c r="Z42" s="273">
        <v>22</v>
      </c>
      <c r="AA42" s="726" t="s">
        <v>446</v>
      </c>
      <c r="AE42" s="279"/>
      <c r="AF42" s="280"/>
    </row>
    <row r="43" spans="1:32" x14ac:dyDescent="0.2">
      <c r="B43" s="750"/>
      <c r="C43" s="750"/>
      <c r="D43" s="750"/>
      <c r="E43" s="750"/>
      <c r="F43" s="750"/>
      <c r="G43" s="750"/>
      <c r="H43" s="750"/>
      <c r="I43" s="750"/>
      <c r="J43" s="750"/>
      <c r="K43" s="750"/>
      <c r="L43" s="750"/>
      <c r="Z43" s="273">
        <v>23</v>
      </c>
      <c r="AA43" s="726" t="s">
        <v>447</v>
      </c>
      <c r="AE43" s="279"/>
      <c r="AF43" s="280"/>
    </row>
    <row r="44" spans="1:32" x14ac:dyDescent="0.2">
      <c r="B44" s="750"/>
      <c r="C44" s="750"/>
      <c r="D44" s="750"/>
      <c r="E44" s="750"/>
      <c r="F44" s="750"/>
      <c r="G44" s="750"/>
      <c r="H44" s="750"/>
      <c r="I44" s="750"/>
      <c r="J44" s="750"/>
      <c r="K44" s="750"/>
      <c r="L44" s="750"/>
      <c r="Z44" s="273">
        <v>24</v>
      </c>
      <c r="AA44" s="726" t="s">
        <v>473</v>
      </c>
      <c r="AE44" s="279"/>
      <c r="AF44" s="280"/>
    </row>
    <row r="45" spans="1:32" x14ac:dyDescent="0.2">
      <c r="B45" s="750"/>
      <c r="C45" s="750"/>
      <c r="D45" s="750"/>
      <c r="E45" s="750"/>
      <c r="F45" s="750"/>
      <c r="G45" s="750"/>
      <c r="H45" s="750"/>
      <c r="I45" s="750"/>
      <c r="J45" s="750"/>
      <c r="K45" s="750"/>
      <c r="L45" s="750"/>
      <c r="Z45" s="273">
        <v>25</v>
      </c>
      <c r="AA45" s="726" t="s">
        <v>171</v>
      </c>
      <c r="AE45" s="279"/>
      <c r="AF45" s="280"/>
    </row>
    <row r="46" spans="1:32" x14ac:dyDescent="0.2">
      <c r="B46" s="750"/>
      <c r="C46" s="750"/>
      <c r="D46" s="750"/>
      <c r="E46" s="750"/>
      <c r="F46" s="750"/>
      <c r="G46" s="750"/>
      <c r="H46" s="750"/>
      <c r="I46" s="750"/>
      <c r="J46" s="750"/>
      <c r="K46" s="750"/>
      <c r="L46" s="750"/>
      <c r="Z46" s="273">
        <v>26</v>
      </c>
      <c r="AA46" s="726" t="s">
        <v>172</v>
      </c>
      <c r="AE46" s="279"/>
      <c r="AF46" s="280"/>
    </row>
    <row r="47" spans="1:32" x14ac:dyDescent="0.2">
      <c r="B47" s="750"/>
      <c r="C47" s="750"/>
      <c r="D47" s="750"/>
      <c r="E47" s="750"/>
      <c r="F47" s="750"/>
      <c r="G47" s="750"/>
      <c r="H47" s="750"/>
      <c r="I47" s="750"/>
      <c r="J47" s="750"/>
      <c r="K47" s="750"/>
      <c r="L47" s="750"/>
      <c r="Z47" s="273">
        <v>27</v>
      </c>
      <c r="AA47" s="726" t="s">
        <v>173</v>
      </c>
      <c r="AE47" s="279"/>
      <c r="AF47" s="280"/>
    </row>
    <row r="48" spans="1:32" x14ac:dyDescent="0.2">
      <c r="B48" s="750"/>
      <c r="C48" s="750"/>
      <c r="D48" s="750"/>
      <c r="E48" s="750"/>
      <c r="F48" s="750"/>
      <c r="G48" s="750"/>
      <c r="H48" s="750"/>
      <c r="I48" s="750"/>
      <c r="J48" s="750"/>
      <c r="K48" s="750"/>
      <c r="L48" s="750"/>
      <c r="Z48" s="273">
        <v>28</v>
      </c>
      <c r="AA48" s="726" t="s">
        <v>195</v>
      </c>
      <c r="AE48" s="279"/>
      <c r="AF48" s="280"/>
    </row>
    <row r="49" spans="2:32" x14ac:dyDescent="0.2">
      <c r="B49" s="750"/>
      <c r="C49" s="750"/>
      <c r="D49" s="750"/>
      <c r="E49" s="750"/>
      <c r="F49" s="750"/>
      <c r="G49" s="750"/>
      <c r="H49" s="750"/>
      <c r="I49" s="750"/>
      <c r="J49" s="750"/>
      <c r="K49" s="750"/>
      <c r="L49" s="750"/>
      <c r="Z49" s="273">
        <v>29</v>
      </c>
      <c r="AA49" s="726" t="s">
        <v>455</v>
      </c>
      <c r="AE49" s="279"/>
      <c r="AF49" s="280"/>
    </row>
    <row r="50" spans="2:32" x14ac:dyDescent="0.2">
      <c r="Z50" s="273">
        <v>30</v>
      </c>
      <c r="AA50" s="726" t="s">
        <v>174</v>
      </c>
      <c r="AE50" s="279"/>
      <c r="AF50" s="280"/>
    </row>
    <row r="51" spans="2:32" x14ac:dyDescent="0.2">
      <c r="Z51" s="273">
        <v>31</v>
      </c>
      <c r="AA51" s="726" t="s">
        <v>467</v>
      </c>
      <c r="AE51" s="279"/>
      <c r="AF51" s="280"/>
    </row>
    <row r="52" spans="2:32" x14ac:dyDescent="0.2">
      <c r="Z52" s="273">
        <v>32</v>
      </c>
      <c r="AA52" s="726" t="s">
        <v>175</v>
      </c>
      <c r="AE52" s="279"/>
      <c r="AF52" s="280"/>
    </row>
    <row r="53" spans="2:32" x14ac:dyDescent="0.2">
      <c r="Z53" s="273">
        <v>33</v>
      </c>
      <c r="AA53" s="726" t="s">
        <v>176</v>
      </c>
      <c r="AE53" s="279"/>
      <c r="AF53" s="280"/>
    </row>
    <row r="54" spans="2:32" x14ac:dyDescent="0.2">
      <c r="Z54" s="273">
        <v>34</v>
      </c>
      <c r="AA54" s="726" t="s">
        <v>469</v>
      </c>
      <c r="AE54" s="279"/>
      <c r="AF54" s="280"/>
    </row>
    <row r="55" spans="2:32" x14ac:dyDescent="0.2">
      <c r="Z55" s="273">
        <v>35</v>
      </c>
      <c r="AA55" s="726" t="s">
        <v>461</v>
      </c>
      <c r="AE55" s="279"/>
      <c r="AF55" s="280"/>
    </row>
    <row r="56" spans="2:32" x14ac:dyDescent="0.2">
      <c r="Z56" s="273">
        <v>36</v>
      </c>
      <c r="AA56" s="726" t="s">
        <v>462</v>
      </c>
      <c r="AE56" s="279"/>
      <c r="AF56" s="280"/>
    </row>
    <row r="57" spans="2:32" x14ac:dyDescent="0.2">
      <c r="B57" s="281"/>
      <c r="C57" s="281"/>
      <c r="D57" s="281"/>
      <c r="Z57" s="273">
        <v>37</v>
      </c>
      <c r="AA57" s="726" t="s">
        <v>463</v>
      </c>
      <c r="AE57" s="279"/>
      <c r="AF57" s="280"/>
    </row>
    <row r="58" spans="2:32" x14ac:dyDescent="0.2">
      <c r="Z58" s="273">
        <v>38</v>
      </c>
      <c r="AA58" s="726" t="s">
        <v>474</v>
      </c>
      <c r="AE58" s="279"/>
      <c r="AF58" s="280"/>
    </row>
    <row r="59" spans="2:32" x14ac:dyDescent="0.2">
      <c r="Z59" s="273">
        <v>39</v>
      </c>
      <c r="AA59" s="726" t="s">
        <v>196</v>
      </c>
      <c r="AE59" s="279"/>
      <c r="AF59" s="280"/>
    </row>
    <row r="60" spans="2:32" x14ac:dyDescent="0.2">
      <c r="Z60" s="273">
        <v>40</v>
      </c>
      <c r="AA60" s="726" t="s">
        <v>456</v>
      </c>
      <c r="AE60" s="279"/>
      <c r="AF60" s="280"/>
    </row>
    <row r="61" spans="2:32" x14ac:dyDescent="0.2">
      <c r="Z61" s="273">
        <v>41</v>
      </c>
      <c r="AA61" s="726" t="s">
        <v>177</v>
      </c>
      <c r="AE61" s="279"/>
      <c r="AF61" s="280"/>
    </row>
    <row r="62" spans="2:32" x14ac:dyDescent="0.2">
      <c r="Z62" s="273">
        <v>42</v>
      </c>
      <c r="AA62" s="726" t="s">
        <v>178</v>
      </c>
      <c r="AE62" s="279"/>
      <c r="AF62" s="280"/>
    </row>
    <row r="63" spans="2:32" x14ac:dyDescent="0.2">
      <c r="Z63" s="273">
        <v>43</v>
      </c>
      <c r="AA63" s="726" t="s">
        <v>179</v>
      </c>
      <c r="AE63" s="279"/>
      <c r="AF63" s="280"/>
    </row>
    <row r="64" spans="2:32" x14ac:dyDescent="0.2">
      <c r="Z64" s="273">
        <v>44</v>
      </c>
      <c r="AA64" s="726" t="s">
        <v>197</v>
      </c>
      <c r="AE64" s="279"/>
      <c r="AF64" s="280"/>
    </row>
    <row r="65" spans="26:32" x14ac:dyDescent="0.2">
      <c r="Z65" s="273">
        <v>45</v>
      </c>
      <c r="AA65" s="726" t="s">
        <v>458</v>
      </c>
      <c r="AE65" s="279"/>
      <c r="AF65" s="280"/>
    </row>
    <row r="66" spans="26:32" x14ac:dyDescent="0.2">
      <c r="Z66" s="273">
        <v>46</v>
      </c>
      <c r="AA66" s="726" t="s">
        <v>180</v>
      </c>
      <c r="AE66" s="279"/>
      <c r="AF66" s="280"/>
    </row>
    <row r="67" spans="26:32" x14ac:dyDescent="0.2">
      <c r="Z67" s="273">
        <v>47</v>
      </c>
      <c r="AA67" s="726" t="s">
        <v>465</v>
      </c>
      <c r="AE67" s="279"/>
      <c r="AF67" s="280"/>
    </row>
    <row r="68" spans="26:32" x14ac:dyDescent="0.2">
      <c r="Z68" s="273">
        <v>48</v>
      </c>
      <c r="AA68" s="726" t="s">
        <v>459</v>
      </c>
      <c r="AE68" s="279"/>
      <c r="AF68" s="280"/>
    </row>
    <row r="69" spans="26:32" x14ac:dyDescent="0.2">
      <c r="Z69" s="273">
        <v>49</v>
      </c>
      <c r="AA69" s="726" t="s">
        <v>460</v>
      </c>
      <c r="AE69" s="279"/>
      <c r="AF69" s="280"/>
    </row>
    <row r="70" spans="26:32" x14ac:dyDescent="0.2">
      <c r="Z70" s="273">
        <v>50</v>
      </c>
      <c r="AA70" s="726" t="s">
        <v>235</v>
      </c>
      <c r="AE70" s="279"/>
      <c r="AF70" s="280"/>
    </row>
    <row r="71" spans="26:32" x14ac:dyDescent="0.2">
      <c r="Z71" s="273">
        <v>51</v>
      </c>
      <c r="AA71" s="726" t="s">
        <v>181</v>
      </c>
      <c r="AE71" s="279"/>
      <c r="AF71" s="280"/>
    </row>
    <row r="72" spans="26:32" x14ac:dyDescent="0.2">
      <c r="Z72" s="273">
        <v>52</v>
      </c>
      <c r="AA72" s="726" t="s">
        <v>478</v>
      </c>
      <c r="AE72" s="279"/>
      <c r="AF72" s="280"/>
    </row>
    <row r="73" spans="26:32" x14ac:dyDescent="0.2">
      <c r="Z73" s="273">
        <v>53</v>
      </c>
      <c r="AA73" s="726" t="s">
        <v>479</v>
      </c>
      <c r="AE73" s="279"/>
      <c r="AF73" s="280"/>
    </row>
    <row r="74" spans="26:32" x14ac:dyDescent="0.2">
      <c r="Z74" s="273">
        <v>54</v>
      </c>
      <c r="AA74" s="726" t="s">
        <v>182</v>
      </c>
      <c r="AE74" s="279"/>
      <c r="AF74" s="280"/>
    </row>
    <row r="75" spans="26:32" x14ac:dyDescent="0.2">
      <c r="Z75" s="273">
        <v>55</v>
      </c>
      <c r="AA75" s="726" t="s">
        <v>261</v>
      </c>
      <c r="AE75" s="279"/>
      <c r="AF75" s="280"/>
    </row>
    <row r="76" spans="26:32" ht="12.75" customHeight="1" x14ac:dyDescent="0.2">
      <c r="Z76" s="273">
        <v>56</v>
      </c>
      <c r="AA76" s="726" t="s">
        <v>183</v>
      </c>
      <c r="AE76" s="279"/>
      <c r="AF76" s="280"/>
    </row>
    <row r="77" spans="26:32" ht="12.75" customHeight="1" x14ac:dyDescent="0.2">
      <c r="Z77" s="273">
        <v>57</v>
      </c>
      <c r="AA77" s="726" t="s">
        <v>262</v>
      </c>
      <c r="AE77" s="279"/>
      <c r="AF77" s="280"/>
    </row>
    <row r="78" spans="26:32" ht="15" customHeight="1" x14ac:dyDescent="0.2">
      <c r="Z78" s="273">
        <v>58</v>
      </c>
      <c r="AA78" s="726" t="s">
        <v>184</v>
      </c>
      <c r="AE78" s="279"/>
      <c r="AF78" s="280"/>
    </row>
    <row r="79" spans="26:32" x14ac:dyDescent="0.2">
      <c r="Z79" s="273">
        <v>59</v>
      </c>
      <c r="AA79" s="726" t="s">
        <v>185</v>
      </c>
      <c r="AE79" s="279"/>
      <c r="AF79" s="280"/>
    </row>
    <row r="80" spans="26:32" x14ac:dyDescent="0.2">
      <c r="Z80" s="273">
        <v>60</v>
      </c>
      <c r="AA80" s="726" t="s">
        <v>263</v>
      </c>
      <c r="AE80" s="279"/>
      <c r="AF80" s="280"/>
    </row>
    <row r="81" spans="26:32" x14ac:dyDescent="0.2">
      <c r="Z81" s="273">
        <v>61</v>
      </c>
      <c r="AA81" s="726" t="s">
        <v>186</v>
      </c>
      <c r="AE81" s="279"/>
      <c r="AF81" s="280"/>
    </row>
    <row r="82" spans="26:32" ht="12.75" customHeight="1" x14ac:dyDescent="0.2">
      <c r="Z82" s="273">
        <v>62</v>
      </c>
      <c r="AA82" s="726" t="s">
        <v>187</v>
      </c>
      <c r="AE82" s="279"/>
      <c r="AF82" s="280"/>
    </row>
    <row r="83" spans="26:32" ht="12.75" customHeight="1" x14ac:dyDescent="0.2">
      <c r="Z83" s="273">
        <v>63</v>
      </c>
      <c r="AA83" s="726" t="s">
        <v>188</v>
      </c>
      <c r="AE83" s="279"/>
      <c r="AF83" s="280"/>
    </row>
    <row r="84" spans="26:32" x14ac:dyDescent="0.2">
      <c r="Z84" s="273">
        <v>64</v>
      </c>
      <c r="AA84" s="726" t="s">
        <v>189</v>
      </c>
      <c r="AE84" s="279"/>
      <c r="AF84" s="280"/>
    </row>
    <row r="85" spans="26:32" x14ac:dyDescent="0.2">
      <c r="Z85" s="273">
        <v>65</v>
      </c>
      <c r="AA85" s="726" t="s">
        <v>464</v>
      </c>
      <c r="AE85" s="279"/>
      <c r="AF85" s="280"/>
    </row>
    <row r="86" spans="26:32" x14ac:dyDescent="0.2">
      <c r="Z86" s="273">
        <v>66</v>
      </c>
      <c r="AA86" s="726" t="s">
        <v>466</v>
      </c>
      <c r="AE86" s="279"/>
      <c r="AF86" s="280"/>
    </row>
    <row r="87" spans="26:32" x14ac:dyDescent="0.2">
      <c r="Z87" s="273">
        <v>67</v>
      </c>
      <c r="AA87" s="726" t="s">
        <v>190</v>
      </c>
      <c r="AE87" s="279"/>
      <c r="AF87" s="280"/>
    </row>
    <row r="88" spans="26:32" x14ac:dyDescent="0.2">
      <c r="Z88" s="273">
        <v>68</v>
      </c>
      <c r="AA88" s="726" t="s">
        <v>198</v>
      </c>
      <c r="AE88" s="279"/>
      <c r="AF88" s="280"/>
    </row>
    <row r="89" spans="26:32" x14ac:dyDescent="0.2">
      <c r="Z89" s="273">
        <v>69</v>
      </c>
      <c r="AA89" s="726" t="s">
        <v>191</v>
      </c>
      <c r="AE89" s="279"/>
      <c r="AF89" s="280"/>
    </row>
    <row r="90" spans="26:32" x14ac:dyDescent="0.2">
      <c r="Z90" s="273">
        <v>70</v>
      </c>
      <c r="AA90" s="726" t="s">
        <v>192</v>
      </c>
      <c r="AE90" s="279"/>
      <c r="AF90" s="280"/>
    </row>
    <row r="91" spans="26:32" x14ac:dyDescent="0.2">
      <c r="Z91" s="273">
        <v>71</v>
      </c>
      <c r="AA91" s="726" t="s">
        <v>468</v>
      </c>
      <c r="AE91" s="279"/>
      <c r="AF91" s="280"/>
    </row>
    <row r="92" spans="26:32" x14ac:dyDescent="0.2">
      <c r="Z92" s="273">
        <v>72</v>
      </c>
      <c r="AA92" s="726" t="s">
        <v>193</v>
      </c>
      <c r="AE92" s="279"/>
      <c r="AF92" s="280"/>
    </row>
    <row r="93" spans="26:32" x14ac:dyDescent="0.2">
      <c r="Z93" s="273">
        <v>73</v>
      </c>
      <c r="AA93" s="726" t="s">
        <v>194</v>
      </c>
      <c r="AE93" s="279"/>
      <c r="AF93" s="280"/>
    </row>
    <row r="94" spans="26:32" ht="15" x14ac:dyDescent="0.25">
      <c r="AA94" s="426"/>
      <c r="AE94" s="280"/>
      <c r="AF94" s="280"/>
    </row>
    <row r="95" spans="26:32" ht="15" x14ac:dyDescent="0.25">
      <c r="AA95" s="426"/>
      <c r="AE95" s="280"/>
      <c r="AF95" s="280"/>
    </row>
    <row r="96" spans="26:32" x14ac:dyDescent="0.2">
      <c r="AA96" s="381"/>
      <c r="AE96" s="280"/>
      <c r="AF96" s="280"/>
    </row>
    <row r="97" spans="27:32" x14ac:dyDescent="0.2">
      <c r="AA97" s="381"/>
      <c r="AE97" s="280"/>
      <c r="AF97" s="280"/>
    </row>
    <row r="98" spans="27:32" ht="15" x14ac:dyDescent="0.25">
      <c r="AA98" s="426"/>
      <c r="AE98" s="280"/>
      <c r="AF98" s="280"/>
    </row>
    <row r="99" spans="27:32" x14ac:dyDescent="0.2">
      <c r="AA99" s="414"/>
      <c r="AE99" s="280"/>
      <c r="AF99" s="280"/>
    </row>
    <row r="100" spans="27:32" ht="15" x14ac:dyDescent="0.25">
      <c r="AA100" s="426"/>
      <c r="AE100" s="280"/>
      <c r="AF100" s="280"/>
    </row>
    <row r="101" spans="27:32" ht="15" x14ac:dyDescent="0.25">
      <c r="AA101" s="426"/>
      <c r="AE101" s="280"/>
      <c r="AF101" s="280"/>
    </row>
    <row r="102" spans="27:32" ht="15" x14ac:dyDescent="0.25">
      <c r="AA102" s="426"/>
      <c r="AE102" s="280"/>
      <c r="AF102" s="280"/>
    </row>
    <row r="103" spans="27:32" ht="15" x14ac:dyDescent="0.25">
      <c r="AA103" s="426"/>
      <c r="AE103" s="280"/>
      <c r="AF103" s="280"/>
    </row>
    <row r="104" spans="27:32" ht="15" x14ac:dyDescent="0.25">
      <c r="AA104" s="426"/>
      <c r="AE104" s="280"/>
      <c r="AF104" s="280"/>
    </row>
    <row r="105" spans="27:32" x14ac:dyDescent="0.2">
      <c r="AE105" s="280"/>
      <c r="AF105" s="280"/>
    </row>
    <row r="106" spans="27:32" x14ac:dyDescent="0.2">
      <c r="AB106" s="278"/>
      <c r="AE106" s="280"/>
      <c r="AF106" s="280"/>
    </row>
    <row r="107" spans="27:32" x14ac:dyDescent="0.2">
      <c r="AB107" s="278"/>
      <c r="AE107" s="280"/>
      <c r="AF107" s="280"/>
    </row>
    <row r="108" spans="27:32" x14ac:dyDescent="0.2">
      <c r="AB108" s="278"/>
      <c r="AE108" s="280"/>
      <c r="AF108" s="280"/>
    </row>
    <row r="109" spans="27:32" x14ac:dyDescent="0.2">
      <c r="AB109" s="278"/>
      <c r="AE109" s="280"/>
      <c r="AF109" s="280"/>
    </row>
    <row r="110" spans="27:32" ht="15" customHeight="1" x14ac:dyDescent="0.2">
      <c r="AB110" s="278"/>
      <c r="AE110" s="280"/>
      <c r="AF110" s="280"/>
    </row>
    <row r="111" spans="27:32" ht="15" customHeight="1" x14ac:dyDescent="0.2">
      <c r="AB111" s="278"/>
      <c r="AE111" s="280"/>
      <c r="AF111" s="280"/>
    </row>
    <row r="112" spans="27:32" x14ac:dyDescent="0.2">
      <c r="AB112" s="278"/>
      <c r="AE112" s="280"/>
      <c r="AF112" s="280"/>
    </row>
    <row r="113" spans="28:32" ht="15" customHeight="1" x14ac:dyDescent="0.2">
      <c r="AB113" s="278"/>
      <c r="AE113" s="280"/>
      <c r="AF113" s="280"/>
    </row>
    <row r="114" spans="28:32" x14ac:dyDescent="0.2">
      <c r="AB114" s="278"/>
      <c r="AE114" s="280"/>
      <c r="AF114" s="280"/>
    </row>
  </sheetData>
  <sortState xmlns:xlrd2="http://schemas.microsoft.com/office/spreadsheetml/2017/richdata2" ref="AA21:AA108">
    <sortCondition ref="AA108"/>
  </sortState>
  <mergeCells count="21">
    <mergeCell ref="B36:D36"/>
    <mergeCell ref="B43:L49"/>
    <mergeCell ref="C1:M2"/>
    <mergeCell ref="C3:M4"/>
    <mergeCell ref="E36:J36"/>
    <mergeCell ref="G26:K26"/>
    <mergeCell ref="B22:C22"/>
    <mergeCell ref="G16:M16"/>
    <mergeCell ref="G18:K18"/>
    <mergeCell ref="G20:K20"/>
    <mergeCell ref="G22:K22"/>
    <mergeCell ref="G24:K24"/>
    <mergeCell ref="B24:C24"/>
    <mergeCell ref="B26:D26"/>
    <mergeCell ref="A37:Q37"/>
    <mergeCell ref="E28:F28"/>
    <mergeCell ref="E30:F30"/>
    <mergeCell ref="E32:F32"/>
    <mergeCell ref="G28:K28"/>
    <mergeCell ref="G30:K30"/>
    <mergeCell ref="G32:K32"/>
  </mergeCells>
  <phoneticPr fontId="30" type="noConversion"/>
  <conditionalFormatting sqref="E22:J22 E24:J24 E26:J26 E36:J36">
    <cfRule type="cellIs" dxfId="84" priority="5" stopIfTrue="1" operator="notEqual">
      <formula>""</formula>
    </cfRule>
  </conditionalFormatting>
  <conditionalFormatting sqref="G32:J32">
    <cfRule type="cellIs" dxfId="83" priority="1" stopIfTrue="1" operator="notEqual">
      <formula>""</formula>
    </cfRule>
  </conditionalFormatting>
  <conditionalFormatting sqref="G28:J28">
    <cfRule type="cellIs" dxfId="82" priority="3" stopIfTrue="1" operator="notEqual">
      <formula>""</formula>
    </cfRule>
  </conditionalFormatting>
  <conditionalFormatting sqref="G30:J30">
    <cfRule type="cellIs" dxfId="81" priority="2" stopIfTrue="1" operator="notEqual">
      <formula>""</formula>
    </cfRule>
  </conditionalFormatting>
  <dataValidations count="2">
    <dataValidation allowBlank="1" showInputMessage="1" showErrorMessage="1" prompt="First and last name, title" sqref="G22:K22" xr:uid="{00000000-0002-0000-0000-000000000000}"/>
    <dataValidation type="list" allowBlank="1" showInputMessage="1" showErrorMessage="1" sqref="G16:M16" xr:uid="{00000000-0002-0000-0000-000001000000}">
      <formula1>$AA$21:$AA$93</formula1>
    </dataValidation>
  </dataValidations>
  <hyperlinks>
    <hyperlink ref="G26" r:id="rId1" xr:uid="{3ED9A0F3-6C2C-45B0-8134-FA988B3E079D}"/>
  </hyperlinks>
  <pageMargins left="0.31496062992125984" right="0.31496062992125984" top="0.74803149606299213" bottom="0.74803149606299213" header="0.31496062992125984" footer="0.31496062992125984"/>
  <pageSetup scale="73" orientation="portrait" r:id="rId2"/>
  <colBreaks count="1" manualBreakCount="1">
    <brk id="17" max="42" man="1"/>
  </col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92D050"/>
    <pageSetUpPr fitToPage="1"/>
  </sheetPr>
  <dimension ref="B1:U57"/>
  <sheetViews>
    <sheetView showGridLines="0" view="pageBreakPreview" topLeftCell="A22" zoomScaleNormal="100" zoomScaleSheetLayoutView="100" workbookViewId="0">
      <selection activeCell="F31" sqref="F31"/>
    </sheetView>
  </sheetViews>
  <sheetFormatPr defaultColWidth="9.140625" defaultRowHeight="12.75" x14ac:dyDescent="0.2"/>
  <cols>
    <col min="1" max="1" width="1.85546875" style="5" customWidth="1"/>
    <col min="2" max="2" width="5.7109375" style="5" customWidth="1"/>
    <col min="3" max="3" width="2.85546875" style="5" customWidth="1"/>
    <col min="4" max="4" width="31.28515625" style="5" customWidth="1"/>
    <col min="5" max="5" width="2.7109375" style="5" customWidth="1"/>
    <col min="6" max="6" width="18.7109375" style="5" customWidth="1"/>
    <col min="7" max="7" width="1.7109375" style="5" customWidth="1"/>
    <col min="8" max="8" width="4.5703125" style="5" customWidth="1"/>
    <col min="9" max="9" width="1.7109375" style="5" customWidth="1"/>
    <col min="10" max="10" width="18.7109375" style="5" customWidth="1"/>
    <col min="11" max="11" width="1.140625" style="5" customWidth="1"/>
    <col min="12" max="12" width="7" style="5" bestFit="1" customWidth="1"/>
    <col min="13" max="13" width="1.140625" style="5" customWidth="1"/>
    <col min="14" max="14" width="6.7109375" style="5" customWidth="1"/>
    <col min="15" max="15" width="12.7109375" style="5" customWidth="1"/>
    <col min="16" max="16" width="1.140625" style="5" customWidth="1"/>
    <col min="17" max="17" width="9.140625" style="5" bestFit="1" customWidth="1"/>
    <col min="18" max="18" width="2.140625" style="5" customWidth="1"/>
    <col min="19" max="19" width="14" style="5" bestFit="1" customWidth="1"/>
    <col min="20" max="20" width="11.7109375" style="5" bestFit="1" customWidth="1"/>
    <col min="21" max="21" width="10.28515625" style="5" bestFit="1" customWidth="1"/>
    <col min="22" max="16384" width="9.140625" style="5"/>
  </cols>
  <sheetData>
    <row r="1" spans="2:20" s="2" customFormat="1" ht="21.75" x14ac:dyDescent="0.2">
      <c r="C1" s="773"/>
      <c r="D1" s="773"/>
      <c r="E1" s="773"/>
      <c r="F1" s="773"/>
      <c r="G1" s="773"/>
      <c r="H1" s="773"/>
      <c r="I1" s="773"/>
      <c r="J1" s="773"/>
      <c r="K1" s="773"/>
      <c r="L1" s="773"/>
      <c r="M1" s="773"/>
      <c r="N1" s="773"/>
      <c r="O1" s="839"/>
      <c r="P1" s="839"/>
      <c r="Q1" s="839"/>
      <c r="R1" s="1"/>
    </row>
    <row r="2" spans="2:20" s="2" customFormat="1" ht="18" x14ac:dyDescent="0.25">
      <c r="C2" s="824"/>
      <c r="D2" s="824"/>
      <c r="E2" s="824"/>
      <c r="F2" s="824"/>
      <c r="G2" s="824"/>
      <c r="H2" s="824"/>
      <c r="I2" s="824"/>
      <c r="J2" s="824"/>
      <c r="K2" s="824"/>
      <c r="L2" s="824"/>
      <c r="M2" s="824"/>
      <c r="N2" s="824"/>
      <c r="O2" s="824"/>
      <c r="P2" s="824"/>
      <c r="Q2" s="824"/>
      <c r="R2" s="824"/>
    </row>
    <row r="3" spans="2:20" s="2" customFormat="1" ht="18" x14ac:dyDescent="0.25">
      <c r="C3" s="824"/>
      <c r="D3" s="824"/>
      <c r="E3" s="824"/>
      <c r="F3" s="824"/>
      <c r="G3" s="824"/>
      <c r="H3" s="824"/>
      <c r="I3" s="824"/>
      <c r="J3" s="824"/>
      <c r="K3" s="824"/>
      <c r="L3" s="824"/>
      <c r="M3" s="824"/>
      <c r="N3" s="824"/>
      <c r="O3" s="824"/>
      <c r="P3" s="824"/>
      <c r="Q3" s="824"/>
      <c r="R3" s="824"/>
    </row>
    <row r="4" spans="2:20" s="2" customFormat="1" ht="18" x14ac:dyDescent="0.25">
      <c r="C4" s="824"/>
      <c r="D4" s="824"/>
      <c r="E4" s="824"/>
      <c r="F4" s="824"/>
      <c r="G4" s="824"/>
      <c r="H4" s="824"/>
      <c r="I4" s="824"/>
      <c r="J4" s="824"/>
      <c r="K4" s="824"/>
      <c r="L4" s="824"/>
      <c r="M4" s="824"/>
      <c r="N4" s="824"/>
      <c r="O4" s="37"/>
      <c r="P4" s="37"/>
      <c r="Q4" s="37"/>
      <c r="R4" s="37"/>
    </row>
    <row r="5" spans="2:20" s="2" customFormat="1" ht="15.75" x14ac:dyDescent="0.25">
      <c r="E5" s="3"/>
      <c r="F5" s="3"/>
      <c r="G5" s="3"/>
    </row>
    <row r="6" spans="2:20" s="2" customFormat="1" x14ac:dyDescent="0.2"/>
    <row r="8" spans="2:20" ht="15.75" x14ac:dyDescent="0.2">
      <c r="D8" s="24"/>
      <c r="F8" s="851"/>
      <c r="G8" s="851"/>
      <c r="H8" s="851"/>
      <c r="I8" s="851"/>
      <c r="J8" s="851"/>
      <c r="K8" s="851"/>
      <c r="L8" s="851"/>
      <c r="M8" s="851"/>
      <c r="N8" s="851"/>
      <c r="O8" s="851"/>
      <c r="P8" s="39"/>
      <c r="Q8" s="38"/>
    </row>
    <row r="9" spans="2:20" ht="13.5" customHeight="1" x14ac:dyDescent="0.2">
      <c r="F9" s="39"/>
      <c r="G9" s="39"/>
      <c r="H9" s="39"/>
      <c r="I9" s="39"/>
      <c r="J9" s="39"/>
      <c r="K9" s="39"/>
      <c r="L9" s="39"/>
      <c r="M9" s="39"/>
      <c r="N9" s="39"/>
      <c r="O9" s="39"/>
      <c r="P9" s="39"/>
      <c r="Q9" s="38"/>
    </row>
    <row r="10" spans="2:20" ht="18" customHeight="1" x14ac:dyDescent="0.2">
      <c r="F10" s="39"/>
      <c r="G10" s="39"/>
      <c r="H10" s="39"/>
      <c r="I10" s="39"/>
      <c r="J10" s="39"/>
      <c r="K10" s="39"/>
      <c r="L10" s="39"/>
      <c r="M10" s="39"/>
      <c r="N10" s="39"/>
      <c r="O10" s="39"/>
      <c r="P10" s="39"/>
      <c r="Q10" s="38"/>
    </row>
    <row r="11" spans="2:20" ht="13.5" customHeight="1" x14ac:dyDescent="0.2">
      <c r="B11" s="369" t="s">
        <v>225</v>
      </c>
      <c r="F11" s="39"/>
      <c r="G11" s="39"/>
      <c r="H11" s="39"/>
      <c r="I11" s="39"/>
      <c r="J11" s="39"/>
      <c r="K11" s="39"/>
      <c r="L11" s="39"/>
      <c r="M11" s="39"/>
      <c r="N11" s="39"/>
      <c r="O11" s="39"/>
      <c r="P11" s="39"/>
      <c r="Q11" s="38"/>
    </row>
    <row r="12" spans="2:20" ht="13.5" customHeight="1" x14ac:dyDescent="0.2">
      <c r="F12" s="39"/>
      <c r="G12" s="39"/>
      <c r="H12" s="39"/>
      <c r="I12" s="39"/>
      <c r="J12" s="39"/>
      <c r="K12" s="39"/>
      <c r="L12" s="39"/>
      <c r="M12" s="39"/>
      <c r="N12" s="39"/>
      <c r="O12" s="39"/>
      <c r="P12" s="39"/>
      <c r="Q12" s="38"/>
    </row>
    <row r="13" spans="2:20" ht="39" customHeight="1" x14ac:dyDescent="0.2">
      <c r="B13" s="375" t="s">
        <v>37</v>
      </c>
      <c r="D13" s="41" t="s">
        <v>36</v>
      </c>
      <c r="F13" s="298" t="s">
        <v>23</v>
      </c>
      <c r="G13" s="299"/>
      <c r="H13" s="299"/>
      <c r="I13" s="299"/>
      <c r="J13" s="300" t="str">
        <f>IF(ISBLANK('3. Data_Input_Sheet'!M12),"",'3. Data_Input_Sheet'!M12)</f>
        <v/>
      </c>
      <c r="K13" s="299"/>
      <c r="L13" s="299"/>
      <c r="M13" s="299"/>
      <c r="N13" s="850" t="str">
        <f>'3. Data_Input_Sheet'!U12</f>
        <v>Per Board Decision</v>
      </c>
      <c r="O13" s="850"/>
      <c r="P13" s="141"/>
    </row>
    <row r="14" spans="2:20" ht="14.25" customHeight="1" x14ac:dyDescent="0.2">
      <c r="B14" s="378"/>
      <c r="D14" s="43"/>
      <c r="F14" s="43"/>
      <c r="G14" s="43"/>
      <c r="H14" s="43"/>
      <c r="I14" s="43"/>
      <c r="J14" s="43"/>
      <c r="K14" s="43"/>
      <c r="L14" s="43"/>
      <c r="M14" s="43"/>
      <c r="N14" s="836"/>
      <c r="O14" s="836"/>
      <c r="P14" s="43"/>
    </row>
    <row r="15" spans="2:20" x14ac:dyDescent="0.2">
      <c r="B15" s="342">
        <v>1</v>
      </c>
      <c r="D15" s="5" t="s">
        <v>140</v>
      </c>
      <c r="F15" s="44">
        <f>'5. Utility Income'!F22</f>
        <v>14933344.998750471</v>
      </c>
      <c r="G15" s="44"/>
      <c r="H15" s="355"/>
      <c r="I15" s="182"/>
      <c r="J15" s="44">
        <f>'5. Utility Income'!N22</f>
        <v>14933344.998750471</v>
      </c>
      <c r="K15" s="182"/>
      <c r="L15" s="355"/>
      <c r="M15" s="182"/>
      <c r="N15" s="848">
        <f>'5. Utility Income'!V22</f>
        <v>14933344.998750471</v>
      </c>
      <c r="O15" s="849"/>
      <c r="P15" s="149"/>
      <c r="Q15" s="355"/>
      <c r="T15" s="52"/>
    </row>
    <row r="16" spans="2:20" x14ac:dyDescent="0.2">
      <c r="B16" s="342">
        <v>2</v>
      </c>
      <c r="D16" s="5" t="s">
        <v>34</v>
      </c>
      <c r="F16" s="45">
        <f>'5. Utility Income'!F23</f>
        <v>4916956.9560465533</v>
      </c>
      <c r="G16" s="45"/>
      <c r="H16" s="355"/>
      <c r="I16" s="183"/>
      <c r="J16" s="170">
        <f>'5. Utility Income'!N23</f>
        <v>4916956.9560465533</v>
      </c>
      <c r="K16" s="183"/>
      <c r="L16" s="355"/>
      <c r="M16" s="183"/>
      <c r="N16" s="841">
        <f>'5. Utility Income'!V23</f>
        <v>4916956.9560465533</v>
      </c>
      <c r="O16" s="842"/>
      <c r="P16" s="146"/>
      <c r="Q16" s="355"/>
      <c r="T16" s="52"/>
    </row>
    <row r="17" spans="2:21" ht="12.75" customHeight="1" x14ac:dyDescent="0.2">
      <c r="B17" s="342">
        <v>3</v>
      </c>
      <c r="D17" s="5" t="s">
        <v>45</v>
      </c>
      <c r="F17" s="45">
        <f>'5. Utility Income'!F24</f>
        <v>200192.5</v>
      </c>
      <c r="G17" s="45"/>
      <c r="H17" s="355"/>
      <c r="I17" s="183"/>
      <c r="J17" s="170">
        <f>'5. Utility Income'!N24</f>
        <v>200192.5</v>
      </c>
      <c r="K17" s="183"/>
      <c r="L17" s="355"/>
      <c r="M17" s="183"/>
      <c r="N17" s="841">
        <f>'5. Utility Income'!V24</f>
        <v>200192.5</v>
      </c>
      <c r="O17" s="842"/>
      <c r="P17" s="146"/>
      <c r="Q17" s="355"/>
      <c r="T17" s="52"/>
    </row>
    <row r="18" spans="2:21" s="169" customFormat="1" ht="0.75" customHeight="1" x14ac:dyDescent="0.2">
      <c r="B18" s="379">
        <v>4</v>
      </c>
      <c r="D18" s="169" t="s">
        <v>139</v>
      </c>
      <c r="F18" s="316">
        <f>'6. Taxes_PILs'!G25</f>
        <v>0</v>
      </c>
      <c r="G18" s="316"/>
      <c r="H18" s="317"/>
      <c r="I18" s="318"/>
      <c r="J18" s="319">
        <f>'6. Taxes_PILs'!K25</f>
        <v>0</v>
      </c>
      <c r="K18" s="318"/>
      <c r="L18" s="317"/>
      <c r="M18" s="318"/>
      <c r="N18" s="843">
        <f>'6. Taxes_PILs'!O25</f>
        <v>0</v>
      </c>
      <c r="O18" s="844"/>
      <c r="P18" s="320"/>
      <c r="Q18" s="317"/>
      <c r="T18" s="52"/>
    </row>
    <row r="19" spans="2:21" x14ac:dyDescent="0.2">
      <c r="B19" s="342">
        <v>5</v>
      </c>
      <c r="D19" s="5" t="s">
        <v>91</v>
      </c>
      <c r="F19" s="45">
        <f>'6. Taxes_PILs'!G33-F18</f>
        <v>684115.38260455884</v>
      </c>
      <c r="G19" s="45"/>
      <c r="H19" s="355"/>
      <c r="I19" s="183"/>
      <c r="J19" s="170">
        <f>'6. Taxes_PILs'!K33-J18</f>
        <v>684115.38260455884</v>
      </c>
      <c r="K19" s="183"/>
      <c r="L19" s="355"/>
      <c r="M19" s="183"/>
      <c r="N19" s="841">
        <f>'6. Taxes_PILs'!O33-N18</f>
        <v>684115.38260455884</v>
      </c>
      <c r="O19" s="842"/>
      <c r="P19" s="146"/>
      <c r="Q19" s="355"/>
      <c r="T19" s="52"/>
    </row>
    <row r="20" spans="2:21" x14ac:dyDescent="0.2">
      <c r="B20" s="342">
        <v>6</v>
      </c>
      <c r="D20" s="5" t="s">
        <v>134</v>
      </c>
      <c r="F20" s="45">
        <f>'5. Utility Income'!F26</f>
        <v>0</v>
      </c>
      <c r="G20" s="45"/>
      <c r="H20" s="355"/>
      <c r="I20" s="183"/>
      <c r="J20" s="148" t="str">
        <f>'5. Utility Income'!N26</f>
        <v/>
      </c>
      <c r="K20" s="183"/>
      <c r="L20" s="355"/>
      <c r="M20" s="183"/>
      <c r="N20" s="840" t="str">
        <f>'5. Utility Income'!V26</f>
        <v/>
      </c>
      <c r="O20" s="840"/>
      <c r="P20" s="148"/>
      <c r="Q20" s="355"/>
      <c r="T20" s="52"/>
    </row>
    <row r="21" spans="2:21" x14ac:dyDescent="0.2">
      <c r="B21" s="342">
        <v>7</v>
      </c>
      <c r="D21" s="5" t="s">
        <v>22</v>
      </c>
      <c r="F21" s="46"/>
      <c r="G21" s="46"/>
      <c r="H21" s="184"/>
      <c r="I21" s="184"/>
      <c r="J21" s="46"/>
      <c r="K21" s="184"/>
      <c r="L21" s="185"/>
      <c r="M21" s="184"/>
      <c r="N21" s="858"/>
      <c r="O21" s="859"/>
      <c r="P21" s="147"/>
      <c r="Q21" s="185"/>
    </row>
    <row r="22" spans="2:21" x14ac:dyDescent="0.2">
      <c r="B22" s="342"/>
      <c r="D22" s="372" t="s">
        <v>95</v>
      </c>
      <c r="F22" s="48">
        <f>'8. Rev_Def_Suff'!F25</f>
        <v>2303653.3504001889</v>
      </c>
      <c r="G22" s="48"/>
      <c r="H22" s="355"/>
      <c r="I22" s="186"/>
      <c r="J22" s="48">
        <f>'8. Rev_Def_Suff'!L25</f>
        <v>2303653.3504001889</v>
      </c>
      <c r="K22" s="186"/>
      <c r="L22" s="355"/>
      <c r="M22" s="186"/>
      <c r="N22" s="845">
        <f>'8. Rev_Def_Suff'!P25</f>
        <v>2303653.3504001889</v>
      </c>
      <c r="O22" s="845"/>
      <c r="P22" s="145"/>
      <c r="Q22" s="355"/>
      <c r="T22" s="52"/>
    </row>
    <row r="23" spans="2:21" x14ac:dyDescent="0.2">
      <c r="B23" s="342"/>
      <c r="D23" s="372" t="s">
        <v>238</v>
      </c>
      <c r="F23" s="48">
        <f>'8. Rev_Def_Suff'!F50</f>
        <v>3934446.4865489602</v>
      </c>
      <c r="G23" s="48"/>
      <c r="H23" s="355"/>
      <c r="I23" s="186"/>
      <c r="J23" s="48">
        <f>'8. Rev_Def_Suff'!L50</f>
        <v>3934446.4865489602</v>
      </c>
      <c r="K23" s="186"/>
      <c r="L23" s="355"/>
      <c r="M23" s="186"/>
      <c r="N23" s="845">
        <f>'8. Rev_Def_Suff'!P50</f>
        <v>3934446.4865489602</v>
      </c>
      <c r="O23" s="845"/>
      <c r="P23" s="145"/>
      <c r="Q23" s="355"/>
      <c r="T23" s="52"/>
    </row>
    <row r="24" spans="2:21" x14ac:dyDescent="0.2">
      <c r="B24" s="342"/>
      <c r="C24" s="15"/>
      <c r="D24" s="15"/>
      <c r="E24" s="15"/>
      <c r="F24" s="49"/>
      <c r="G24" s="47"/>
      <c r="H24" s="187"/>
      <c r="I24" s="187"/>
      <c r="J24" s="49"/>
      <c r="K24" s="187"/>
      <c r="L24" s="187"/>
      <c r="M24" s="187"/>
      <c r="N24" s="49"/>
      <c r="O24" s="50"/>
      <c r="P24" s="147"/>
      <c r="Q24" s="187"/>
      <c r="R24" s="15"/>
      <c r="S24" s="15"/>
      <c r="T24" s="15"/>
      <c r="U24" s="15"/>
    </row>
    <row r="25" spans="2:21" ht="26.25" thickBot="1" x14ac:dyDescent="0.25">
      <c r="B25" s="342">
        <v>8</v>
      </c>
      <c r="C25" s="15"/>
      <c r="D25" s="55" t="s">
        <v>217</v>
      </c>
      <c r="E25" s="15"/>
      <c r="F25" s="51">
        <f>SUM(F15:F23)</f>
        <v>26972709.674350731</v>
      </c>
      <c r="G25" s="47"/>
      <c r="H25" s="355"/>
      <c r="I25" s="187"/>
      <c r="J25" s="51">
        <f>SUM(J15:J23)</f>
        <v>26972709.674350731</v>
      </c>
      <c r="K25" s="187"/>
      <c r="L25" s="355"/>
      <c r="M25" s="187"/>
      <c r="N25" s="798">
        <f>SUM(N15:O23)</f>
        <v>26972709.674350731</v>
      </c>
      <c r="O25" s="798"/>
      <c r="P25" s="48"/>
      <c r="Q25" s="355"/>
      <c r="R25" s="15"/>
      <c r="S25" s="15"/>
      <c r="T25" s="52"/>
      <c r="U25" s="15"/>
    </row>
    <row r="26" spans="2:21" ht="13.5" thickTop="1" x14ac:dyDescent="0.2">
      <c r="B26" s="342"/>
      <c r="C26" s="15"/>
      <c r="D26" s="27"/>
      <c r="E26" s="15"/>
      <c r="F26" s="47"/>
      <c r="G26" s="47"/>
      <c r="H26" s="181"/>
      <c r="I26" s="341"/>
      <c r="J26" s="106"/>
      <c r="K26" s="341"/>
      <c r="L26" s="181"/>
      <c r="M26" s="341"/>
      <c r="N26" s="145"/>
      <c r="O26" s="145"/>
      <c r="P26" s="145"/>
      <c r="Q26" s="181"/>
      <c r="R26" s="15"/>
      <c r="S26" s="15"/>
      <c r="T26" s="15"/>
      <c r="U26" s="15"/>
    </row>
    <row r="27" spans="2:21" x14ac:dyDescent="0.2">
      <c r="B27" s="342">
        <v>9</v>
      </c>
      <c r="C27" s="15"/>
      <c r="D27" s="27" t="s">
        <v>218</v>
      </c>
      <c r="E27" s="15"/>
      <c r="F27" s="54">
        <f>'3. Data_Input_Sheet'!E33</f>
        <v>2201364</v>
      </c>
      <c r="G27" s="47"/>
      <c r="H27" s="355"/>
      <c r="I27" s="187"/>
      <c r="J27" s="54">
        <f>'3. Data_Input_Sheet'!M33</f>
        <v>2201364</v>
      </c>
      <c r="K27" s="187"/>
      <c r="L27" s="355"/>
      <c r="M27" s="187"/>
      <c r="N27" s="806">
        <f>'3. Data_Input_Sheet'!U33</f>
        <v>2201364</v>
      </c>
      <c r="O27" s="806"/>
      <c r="P27" s="48"/>
      <c r="Q27" s="355"/>
      <c r="R27" s="15"/>
      <c r="S27" s="15"/>
      <c r="T27" s="52"/>
      <c r="U27" s="15"/>
    </row>
    <row r="28" spans="2:21" ht="13.5" thickBot="1" x14ac:dyDescent="0.25">
      <c r="B28" s="342">
        <v>10</v>
      </c>
      <c r="C28" s="15"/>
      <c r="D28" s="55" t="s">
        <v>219</v>
      </c>
      <c r="E28" s="15"/>
      <c r="F28" s="340">
        <f>F25-F27</f>
        <v>24771345.674350731</v>
      </c>
      <c r="G28" s="47"/>
      <c r="H28" s="355"/>
      <c r="I28" s="187"/>
      <c r="J28" s="340">
        <f>J25-J27</f>
        <v>24771345.674350731</v>
      </c>
      <c r="K28" s="187"/>
      <c r="L28" s="355"/>
      <c r="M28" s="187"/>
      <c r="N28" s="847">
        <f>N25-N27</f>
        <v>24771345.674350731</v>
      </c>
      <c r="O28" s="847"/>
      <c r="P28" s="48"/>
      <c r="Q28" s="355"/>
      <c r="R28" s="15"/>
      <c r="S28" s="15"/>
      <c r="T28" s="52"/>
      <c r="U28" s="15"/>
    </row>
    <row r="29" spans="2:21" ht="25.5" customHeight="1" thickTop="1" x14ac:dyDescent="0.2">
      <c r="B29" s="342"/>
      <c r="C29" s="15"/>
      <c r="D29" s="344" t="s">
        <v>224</v>
      </c>
      <c r="E29" s="15"/>
      <c r="F29" s="47"/>
      <c r="G29" s="47"/>
      <c r="H29" s="343"/>
      <c r="I29" s="187"/>
      <c r="J29" s="47"/>
      <c r="K29" s="187"/>
      <c r="L29" s="343"/>
      <c r="M29" s="187"/>
      <c r="N29" s="48"/>
      <c r="O29" s="48"/>
      <c r="P29" s="48"/>
      <c r="Q29" s="343"/>
      <c r="R29" s="15"/>
      <c r="S29" s="15"/>
      <c r="T29" s="15"/>
      <c r="U29" s="15"/>
    </row>
    <row r="30" spans="2:21" x14ac:dyDescent="0.2">
      <c r="B30" s="342"/>
      <c r="F30" s="52"/>
      <c r="G30" s="52"/>
      <c r="H30" s="183"/>
      <c r="I30" s="183"/>
      <c r="J30" s="52"/>
      <c r="K30" s="183"/>
      <c r="L30" s="183"/>
      <c r="M30" s="183"/>
      <c r="N30" s="846"/>
      <c r="O30" s="846"/>
      <c r="P30" s="154"/>
      <c r="Q30" s="183"/>
    </row>
    <row r="31" spans="2:21" x14ac:dyDescent="0.2">
      <c r="B31" s="342">
        <v>11</v>
      </c>
      <c r="D31" s="5" t="s">
        <v>52</v>
      </c>
      <c r="F31" s="45">
        <f>'5. Utility Income'!F16</f>
        <v>24771346.156729858</v>
      </c>
      <c r="G31" s="45"/>
      <c r="H31" s="355"/>
      <c r="I31" s="183"/>
      <c r="J31" s="45">
        <f>'5. Utility Income'!N16</f>
        <v>24771346.156729858</v>
      </c>
      <c r="K31" s="183"/>
      <c r="L31" s="355"/>
      <c r="M31" s="183"/>
      <c r="N31" s="841">
        <f>'5. Utility Income'!V16</f>
        <v>24771346.156729858</v>
      </c>
      <c r="O31" s="842"/>
      <c r="P31" s="146"/>
      <c r="Q31" s="355"/>
      <c r="T31" s="52"/>
    </row>
    <row r="32" spans="2:21" x14ac:dyDescent="0.2">
      <c r="B32" s="342">
        <v>12</v>
      </c>
      <c r="D32" s="5" t="s">
        <v>35</v>
      </c>
      <c r="F32" s="53">
        <f>'5. Utility Income'!F17</f>
        <v>2201364</v>
      </c>
      <c r="G32" s="46"/>
      <c r="H32" s="355"/>
      <c r="I32" s="188"/>
      <c r="J32" s="53">
        <f>'5. Utility Income'!N17</f>
        <v>2201364</v>
      </c>
      <c r="K32" s="188"/>
      <c r="L32" s="355"/>
      <c r="M32" s="188"/>
      <c r="N32" s="811">
        <f>'5. Utility Income'!V17</f>
        <v>2201364</v>
      </c>
      <c r="O32" s="860"/>
      <c r="P32" s="147"/>
      <c r="Q32" s="355"/>
      <c r="T32" s="52"/>
    </row>
    <row r="33" spans="2:20" x14ac:dyDescent="0.2">
      <c r="B33" s="342"/>
      <c r="F33" s="797">
        <f>SUM(F31:F32)</f>
        <v>26972710.156729858</v>
      </c>
      <c r="G33" s="48"/>
      <c r="H33" s="186"/>
      <c r="I33" s="186"/>
      <c r="J33" s="797">
        <f>SUM(J31:J32)</f>
        <v>26972710.156729858</v>
      </c>
      <c r="K33" s="186"/>
      <c r="L33" s="186"/>
      <c r="M33" s="186"/>
      <c r="N33" s="797">
        <f>SUM(N31:N32)</f>
        <v>26972710.156729858</v>
      </c>
      <c r="O33" s="803"/>
      <c r="P33" s="155"/>
      <c r="Q33" s="186"/>
    </row>
    <row r="34" spans="2:20" x14ac:dyDescent="0.2">
      <c r="B34" s="342">
        <v>13</v>
      </c>
      <c r="D34" s="16" t="s">
        <v>40</v>
      </c>
      <c r="F34" s="806"/>
      <c r="G34" s="48"/>
      <c r="H34" s="355"/>
      <c r="I34" s="186"/>
      <c r="J34" s="806"/>
      <c r="K34" s="186"/>
      <c r="L34" s="355"/>
      <c r="M34" s="186"/>
      <c r="N34" s="806"/>
      <c r="O34" s="852"/>
      <c r="P34" s="155"/>
      <c r="Q34" s="355"/>
      <c r="T34" s="52"/>
    </row>
    <row r="35" spans="2:20" x14ac:dyDescent="0.2">
      <c r="B35" s="342"/>
      <c r="F35" s="845">
        <f>F33-F25</f>
        <v>0.48237912729382515</v>
      </c>
      <c r="G35" s="145"/>
      <c r="H35" s="189"/>
      <c r="I35" s="189"/>
      <c r="J35" s="845">
        <f>J33-J25</f>
        <v>0.48237912729382515</v>
      </c>
      <c r="K35" s="189"/>
      <c r="L35" s="189"/>
      <c r="M35" s="189"/>
      <c r="N35" s="807">
        <f>N33-N25</f>
        <v>0.48237912729382515</v>
      </c>
      <c r="O35" s="853"/>
      <c r="P35" s="156"/>
      <c r="Q35" s="4"/>
    </row>
    <row r="36" spans="2:20" ht="39" thickBot="1" x14ac:dyDescent="0.25">
      <c r="B36" s="342">
        <v>14</v>
      </c>
      <c r="D36" s="55" t="s">
        <v>144</v>
      </c>
      <c r="F36" s="808"/>
      <c r="G36" s="145"/>
      <c r="H36" s="476" t="s">
        <v>2</v>
      </c>
      <c r="I36" s="190"/>
      <c r="J36" s="808"/>
      <c r="K36" s="190"/>
      <c r="L36" s="476" t="s">
        <v>2</v>
      </c>
      <c r="M36" s="190"/>
      <c r="N36" s="808"/>
      <c r="O36" s="854"/>
      <c r="P36" s="156"/>
      <c r="Q36" s="477" t="s">
        <v>2</v>
      </c>
    </row>
    <row r="37" spans="2:20" ht="13.5" thickTop="1" x14ac:dyDescent="0.2">
      <c r="B37" s="342"/>
      <c r="D37" s="55"/>
      <c r="F37" s="427"/>
      <c r="G37" s="427"/>
      <c r="H37" s="190"/>
      <c r="I37" s="190"/>
      <c r="J37" s="427"/>
      <c r="K37" s="190"/>
      <c r="L37" s="190"/>
      <c r="M37" s="190"/>
      <c r="N37" s="427"/>
      <c r="O37" s="156"/>
      <c r="P37" s="156"/>
      <c r="Q37" s="191"/>
    </row>
    <row r="38" spans="2:20" x14ac:dyDescent="0.2">
      <c r="B38" s="342"/>
      <c r="D38" s="55"/>
      <c r="F38" s="427"/>
      <c r="G38" s="427"/>
      <c r="H38" s="190"/>
      <c r="I38" s="190"/>
      <c r="J38" s="427"/>
      <c r="K38" s="190"/>
      <c r="L38" s="190"/>
      <c r="M38" s="190"/>
      <c r="N38" s="427"/>
      <c r="O38" s="156"/>
      <c r="P38" s="156"/>
      <c r="Q38" s="191"/>
    </row>
    <row r="39" spans="2:20" ht="12.75" customHeight="1" x14ac:dyDescent="0.25">
      <c r="B39" s="342"/>
      <c r="D39" s="861" t="s">
        <v>265</v>
      </c>
      <c r="E39" s="861"/>
      <c r="F39" s="861"/>
      <c r="G39" s="861"/>
      <c r="H39" s="861"/>
      <c r="I39" s="861"/>
      <c r="J39" s="861"/>
      <c r="K39" s="861"/>
      <c r="L39" s="861"/>
      <c r="M39" s="861"/>
      <c r="N39" s="861"/>
      <c r="O39" s="861"/>
      <c r="P39" s="861"/>
      <c r="Q39" s="861"/>
    </row>
    <row r="40" spans="2:20" ht="13.5" thickBot="1" x14ac:dyDescent="0.25">
      <c r="B40" s="342"/>
      <c r="D40" s="55"/>
      <c r="F40" s="427"/>
      <c r="G40" s="427"/>
      <c r="H40" s="190"/>
      <c r="I40" s="190"/>
      <c r="J40" s="427"/>
      <c r="K40" s="190"/>
      <c r="L40" s="190"/>
      <c r="M40" s="190"/>
      <c r="N40" s="427"/>
      <c r="O40" s="156"/>
      <c r="P40" s="156"/>
      <c r="Q40" s="191"/>
    </row>
    <row r="41" spans="2:20" ht="31.5" customHeight="1" thickBot="1" x14ac:dyDescent="0.25">
      <c r="B41" s="342"/>
      <c r="D41" s="428"/>
      <c r="E41" s="429"/>
      <c r="F41" s="430" t="str">
        <f>F13</f>
        <v xml:space="preserve">Application   </v>
      </c>
      <c r="G41" s="431"/>
      <c r="H41" s="432"/>
      <c r="I41" s="432"/>
      <c r="J41" s="430" t="str">
        <f>J13</f>
        <v/>
      </c>
      <c r="K41" s="432"/>
      <c r="L41" s="733" t="s">
        <v>305</v>
      </c>
      <c r="M41" s="432"/>
      <c r="N41" s="855" t="str">
        <f>N13</f>
        <v>Per Board Decision</v>
      </c>
      <c r="O41" s="855"/>
      <c r="P41" s="433"/>
      <c r="Q41" s="737" t="str">
        <f>L41</f>
        <v>Δ% (2)</v>
      </c>
    </row>
    <row r="42" spans="2:20" x14ac:dyDescent="0.2">
      <c r="B42" s="342"/>
      <c r="D42" s="428" t="s">
        <v>247</v>
      </c>
      <c r="E42" s="429"/>
      <c r="F42" s="431">
        <f>F25</f>
        <v>26972709.674350731</v>
      </c>
      <c r="G42" s="431"/>
      <c r="H42" s="432"/>
      <c r="I42" s="432"/>
      <c r="J42" s="431">
        <f>J25</f>
        <v>26972709.674350731</v>
      </c>
      <c r="K42" s="432"/>
      <c r="L42" s="731">
        <f>IF($F42=0," ",(J42-$F42)/$F42)</f>
        <v>0</v>
      </c>
      <c r="M42" s="432"/>
      <c r="N42" s="856">
        <f>N25</f>
        <v>26972709.674350731</v>
      </c>
      <c r="O42" s="856"/>
      <c r="P42" s="433"/>
      <c r="Q42" s="734">
        <f>IF($F42=0," ",(O42-$F42)/$F42)</f>
        <v>-1</v>
      </c>
    </row>
    <row r="43" spans="2:20" ht="26.25" thickBot="1" x14ac:dyDescent="0.25">
      <c r="B43" s="342"/>
      <c r="D43" s="436" t="s">
        <v>266</v>
      </c>
      <c r="E43" s="437"/>
      <c r="F43" s="438">
        <f>'8. Rev_Def_Suff'!F52</f>
        <v>4350354.7071840288</v>
      </c>
      <c r="G43" s="438"/>
      <c r="H43" s="439"/>
      <c r="I43" s="439"/>
      <c r="J43" s="438">
        <f>'8. Rev_Def_Suff'!J52</f>
        <v>4350354.7071840288</v>
      </c>
      <c r="K43" s="439"/>
      <c r="L43" s="730">
        <f>IF($F43=0," ",(J43-$F43)/$F43)</f>
        <v>0</v>
      </c>
      <c r="M43" s="439"/>
      <c r="N43" s="857">
        <f>'8. Rev_Def_Suff'!N52</f>
        <v>4350354.7071840288</v>
      </c>
      <c r="O43" s="857"/>
      <c r="P43" s="440"/>
      <c r="Q43" s="735">
        <f>IF($F43=0," ",(O43-$F43)/$F43)</f>
        <v>-1</v>
      </c>
    </row>
    <row r="44" spans="2:20" ht="13.5" thickBot="1" x14ac:dyDescent="0.25">
      <c r="B44" s="342"/>
      <c r="D44" s="434"/>
      <c r="E44" s="33"/>
      <c r="F44" s="427"/>
      <c r="G44" s="427"/>
      <c r="H44" s="190"/>
      <c r="I44" s="190"/>
      <c r="J44" s="427"/>
      <c r="K44" s="190"/>
      <c r="L44" s="732"/>
      <c r="M44" s="190"/>
      <c r="N44" s="427"/>
      <c r="O44" s="156"/>
      <c r="P44" s="156"/>
      <c r="Q44" s="435"/>
    </row>
    <row r="45" spans="2:20" ht="38.25" x14ac:dyDescent="0.2">
      <c r="B45" s="342"/>
      <c r="D45" s="428" t="s">
        <v>267</v>
      </c>
      <c r="E45" s="429"/>
      <c r="F45" s="431">
        <f>F28</f>
        <v>24771345.674350731</v>
      </c>
      <c r="G45" s="431"/>
      <c r="H45" s="432"/>
      <c r="I45" s="432"/>
      <c r="J45" s="431">
        <f>J28</f>
        <v>24771345.674350731</v>
      </c>
      <c r="K45" s="432"/>
      <c r="L45" s="729">
        <f>IF($F45=0," ",(J45-$F45)/$F45)</f>
        <v>0</v>
      </c>
      <c r="M45" s="432"/>
      <c r="N45" s="856">
        <f>N28</f>
        <v>24771345.674350731</v>
      </c>
      <c r="O45" s="856"/>
      <c r="P45" s="433"/>
      <c r="Q45" s="736">
        <f>IF($F45=0," ",(O45-$F45)/$F45)</f>
        <v>-1</v>
      </c>
    </row>
    <row r="46" spans="2:20" ht="42.75" customHeight="1" thickBot="1" x14ac:dyDescent="0.25">
      <c r="B46" s="342"/>
      <c r="D46" s="436" t="s">
        <v>411</v>
      </c>
      <c r="E46" s="437"/>
      <c r="F46" s="609">
        <f>'3. Data_Input_Sheet'!E26-'3. Data_Input_Sheet'!E25</f>
        <v>4350355.1895631589</v>
      </c>
      <c r="G46" s="438"/>
      <c r="H46" s="439"/>
      <c r="I46" s="439"/>
      <c r="J46" s="438">
        <f>'3. Data_Input_Sheet'!M26-'3. Data_Input_Sheet'!M25</f>
        <v>4350355.1895631589</v>
      </c>
      <c r="K46" s="439"/>
      <c r="L46" s="730">
        <f>IF($F46=0," ",(J46-$F46)/$F46)</f>
        <v>0</v>
      </c>
      <c r="M46" s="439"/>
      <c r="N46" s="857">
        <f>'3. Data_Input_Sheet'!U26-'3. Data_Input_Sheet'!U25</f>
        <v>4350355.1895631589</v>
      </c>
      <c r="O46" s="857"/>
      <c r="P46" s="440"/>
      <c r="Q46" s="735">
        <f>IF($F46=0," ",(O46-$F46)/$F46)</f>
        <v>-1</v>
      </c>
    </row>
    <row r="47" spans="2:20" x14ac:dyDescent="0.2">
      <c r="B47" s="342"/>
      <c r="D47" s="55"/>
      <c r="F47" s="427"/>
      <c r="G47" s="427"/>
      <c r="H47" s="190"/>
      <c r="I47" s="190"/>
      <c r="J47" s="427"/>
      <c r="K47" s="190"/>
      <c r="L47" s="190"/>
      <c r="M47" s="190"/>
      <c r="N47" s="427"/>
      <c r="O47" s="156"/>
      <c r="P47" s="156"/>
      <c r="Q47" s="191"/>
    </row>
    <row r="48" spans="2:20" x14ac:dyDescent="0.2">
      <c r="F48" s="56"/>
      <c r="G48" s="56"/>
      <c r="H48" s="56"/>
      <c r="I48" s="56"/>
      <c r="J48" s="56"/>
      <c r="K48" s="56"/>
      <c r="L48" s="56"/>
      <c r="M48" s="56"/>
      <c r="N48" s="56"/>
      <c r="O48" s="56"/>
      <c r="P48" s="56"/>
    </row>
    <row r="49" spans="2:17" x14ac:dyDescent="0.2">
      <c r="B49" s="815" t="s">
        <v>38</v>
      </c>
      <c r="C49" s="815"/>
      <c r="D49" s="815"/>
      <c r="E49" s="815"/>
      <c r="F49" s="815"/>
      <c r="G49" s="815"/>
      <c r="H49" s="815"/>
      <c r="I49" s="815"/>
      <c r="J49" s="815"/>
      <c r="K49" s="815"/>
      <c r="L49" s="815"/>
      <c r="M49" s="815"/>
      <c r="N49" s="815"/>
      <c r="O49" s="815"/>
      <c r="P49" s="144"/>
    </row>
    <row r="50" spans="2:17" ht="14.25" x14ac:dyDescent="0.2">
      <c r="B50" s="475" t="s">
        <v>2</v>
      </c>
      <c r="D50" s="5" t="s">
        <v>142</v>
      </c>
    </row>
    <row r="51" spans="2:17" ht="14.25" x14ac:dyDescent="0.2">
      <c r="B51" s="475" t="s">
        <v>3</v>
      </c>
      <c r="D51" s="30" t="s">
        <v>268</v>
      </c>
    </row>
    <row r="52" spans="2:17" x14ac:dyDescent="0.2">
      <c r="B52" s="353"/>
      <c r="D52" s="827"/>
      <c r="E52" s="827"/>
      <c r="F52" s="827"/>
      <c r="G52" s="827"/>
      <c r="H52" s="827"/>
      <c r="I52" s="827"/>
      <c r="J52" s="827"/>
      <c r="K52" s="827"/>
      <c r="L52" s="827"/>
      <c r="M52" s="827"/>
      <c r="N52" s="827"/>
      <c r="O52" s="827"/>
      <c r="P52" s="827"/>
      <c r="Q52" s="827"/>
    </row>
    <row r="53" spans="2:17" x14ac:dyDescent="0.2">
      <c r="B53" s="353"/>
      <c r="D53" s="827"/>
      <c r="E53" s="827"/>
      <c r="F53" s="827"/>
      <c r="G53" s="827"/>
      <c r="H53" s="827"/>
      <c r="I53" s="827"/>
      <c r="J53" s="827"/>
      <c r="K53" s="827"/>
      <c r="L53" s="827"/>
      <c r="M53" s="827"/>
      <c r="N53" s="827"/>
      <c r="O53" s="827"/>
      <c r="P53" s="827"/>
      <c r="Q53" s="827"/>
    </row>
    <row r="54" spans="2:17" x14ac:dyDescent="0.2">
      <c r="B54" s="353"/>
      <c r="D54" s="827"/>
      <c r="E54" s="827"/>
      <c r="F54" s="827"/>
      <c r="G54" s="827"/>
      <c r="H54" s="827"/>
      <c r="I54" s="827"/>
      <c r="J54" s="827"/>
      <c r="K54" s="827"/>
      <c r="L54" s="827"/>
      <c r="M54" s="827"/>
      <c r="N54" s="827"/>
      <c r="O54" s="827"/>
      <c r="P54" s="827"/>
      <c r="Q54" s="827"/>
    </row>
    <row r="55" spans="2:17" x14ac:dyDescent="0.2">
      <c r="B55" s="353"/>
      <c r="D55" s="827"/>
      <c r="E55" s="827"/>
      <c r="F55" s="827"/>
      <c r="G55" s="827"/>
      <c r="H55" s="827"/>
      <c r="I55" s="827"/>
      <c r="J55" s="827"/>
      <c r="K55" s="827"/>
      <c r="L55" s="827"/>
      <c r="M55" s="827"/>
      <c r="N55" s="827"/>
      <c r="O55" s="827"/>
      <c r="P55" s="827"/>
      <c r="Q55" s="827"/>
    </row>
    <row r="56" spans="2:17" x14ac:dyDescent="0.2">
      <c r="B56" s="353"/>
      <c r="D56" s="827"/>
      <c r="E56" s="827"/>
      <c r="F56" s="827"/>
      <c r="G56" s="827"/>
      <c r="H56" s="827"/>
      <c r="I56" s="827"/>
      <c r="J56" s="827"/>
      <c r="K56" s="827"/>
      <c r="L56" s="827"/>
      <c r="M56" s="827"/>
      <c r="N56" s="827"/>
      <c r="O56" s="827"/>
      <c r="P56" s="827"/>
      <c r="Q56" s="827"/>
    </row>
    <row r="57" spans="2:17" x14ac:dyDescent="0.2">
      <c r="B57" s="353"/>
      <c r="D57" s="827"/>
      <c r="E57" s="827"/>
      <c r="F57" s="827"/>
      <c r="G57" s="827"/>
      <c r="H57" s="827"/>
      <c r="I57" s="827"/>
      <c r="J57" s="827"/>
      <c r="K57" s="827"/>
      <c r="L57" s="827"/>
      <c r="M57" s="827"/>
      <c r="N57" s="827"/>
      <c r="O57" s="827"/>
      <c r="P57" s="827"/>
      <c r="Q57" s="827"/>
    </row>
  </sheetData>
  <sheetProtection algorithmName="SHA-512" hashValue="UIMwaaQMdRsp2HURvaJkjUAr5OoShw0isbGbONO16YoS8Gc+g76ADCTnk7wl9eW4x5IwAObBJ0WZaThKy8fNsg==" saltValue="6Eb3/CxQf37+J8T6RP4MtQ==" spinCount="100000" sheet="1" objects="1" scenarios="1"/>
  <mergeCells count="42">
    <mergeCell ref="D55:Q55"/>
    <mergeCell ref="D56:Q56"/>
    <mergeCell ref="D57:Q57"/>
    <mergeCell ref="N16:O16"/>
    <mergeCell ref="N17:O17"/>
    <mergeCell ref="N21:O21"/>
    <mergeCell ref="N25:O25"/>
    <mergeCell ref="D52:Q52"/>
    <mergeCell ref="D53:Q53"/>
    <mergeCell ref="B49:O49"/>
    <mergeCell ref="N32:O32"/>
    <mergeCell ref="J33:J34"/>
    <mergeCell ref="J35:J36"/>
    <mergeCell ref="F35:F36"/>
    <mergeCell ref="F33:F34"/>
    <mergeCell ref="D39:Q39"/>
    <mergeCell ref="N13:O13"/>
    <mergeCell ref="F8:O8"/>
    <mergeCell ref="D54:Q54"/>
    <mergeCell ref="N33:O34"/>
    <mergeCell ref="N35:O36"/>
    <mergeCell ref="N41:O41"/>
    <mergeCell ref="N42:O42"/>
    <mergeCell ref="N43:O43"/>
    <mergeCell ref="N45:O45"/>
    <mergeCell ref="N46:O46"/>
    <mergeCell ref="C1:N1"/>
    <mergeCell ref="O1:Q1"/>
    <mergeCell ref="N20:O20"/>
    <mergeCell ref="N31:O31"/>
    <mergeCell ref="N18:O18"/>
    <mergeCell ref="N19:O19"/>
    <mergeCell ref="N22:O22"/>
    <mergeCell ref="N23:O23"/>
    <mergeCell ref="N30:O30"/>
    <mergeCell ref="N27:O27"/>
    <mergeCell ref="N28:O28"/>
    <mergeCell ref="C2:R2"/>
    <mergeCell ref="C3:R3"/>
    <mergeCell ref="C4:N4"/>
    <mergeCell ref="N15:O15"/>
    <mergeCell ref="N14:O14"/>
  </mergeCells>
  <phoneticPr fontId="2" type="noConversion"/>
  <conditionalFormatting sqref="J13">
    <cfRule type="cellIs" dxfId="60" priority="1" stopIfTrue="1" operator="equal">
      <formula>""</formula>
    </cfRule>
  </conditionalFormatting>
  <pageMargins left="0.31496062992125984" right="0.31496062992125984" top="0.74803149606299213" bottom="0.74803149606299213" header="0.31496062992125984" footer="0.31496062992125984"/>
  <pageSetup scale="76" orientation="portrait" r:id="rId1"/>
  <ignoredErrors>
    <ignoredError sqref="H35:Q3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H4"/>
  <sheetViews>
    <sheetView workbookViewId="0">
      <selection activeCell="F22" sqref="F22"/>
    </sheetView>
  </sheetViews>
  <sheetFormatPr defaultRowHeight="12.75" x14ac:dyDescent="0.2"/>
  <cols>
    <col min="1" max="1" width="10.28515625" bestFit="1" customWidth="1"/>
    <col min="2" max="2" width="9.85546875" bestFit="1" customWidth="1"/>
    <col min="3" max="3" width="8.85546875" bestFit="1" customWidth="1"/>
    <col min="4" max="4" width="10.42578125" bestFit="1" customWidth="1"/>
    <col min="5" max="5" width="16.85546875" bestFit="1" customWidth="1"/>
    <col min="6" max="6" width="63.85546875" bestFit="1" customWidth="1"/>
    <col min="7" max="7" width="14.42578125" style="725" bestFit="1" customWidth="1"/>
    <col min="8" max="8" width="16.42578125" style="725" bestFit="1" customWidth="1"/>
  </cols>
  <sheetData>
    <row r="1" spans="1:8" x14ac:dyDescent="0.2">
      <c r="A1" t="s">
        <v>421</v>
      </c>
      <c r="B1" t="s">
        <v>422</v>
      </c>
      <c r="C1" t="s">
        <v>355</v>
      </c>
      <c r="D1" t="s">
        <v>419</v>
      </c>
      <c r="E1" t="s">
        <v>420</v>
      </c>
      <c r="F1" s="443" t="s">
        <v>423</v>
      </c>
      <c r="G1" s="724" t="s">
        <v>425</v>
      </c>
      <c r="H1" s="724" t="s">
        <v>154</v>
      </c>
    </row>
    <row r="2" spans="1:8" x14ac:dyDescent="0.2">
      <c r="A2" t="str">
        <f>'1. Info'!$G$16</f>
        <v>Milton Hydro Distribution Inc.</v>
      </c>
      <c r="B2" t="str">
        <f>'1. Info'!$G$20</f>
        <v>EB-2022-0049</v>
      </c>
      <c r="C2">
        <f>'1. Info'!$G$28</f>
        <v>2023</v>
      </c>
      <c r="D2">
        <f>'1. Info'!$G$30</f>
        <v>2022</v>
      </c>
      <c r="E2">
        <f>'1. Info'!$G$32</f>
        <v>2016</v>
      </c>
      <c r="F2" s="443" t="s">
        <v>217</v>
      </c>
      <c r="G2" s="725">
        <f>'9. Rev_Reqt'!F25</f>
        <v>26972709.674350731</v>
      </c>
      <c r="H2" s="725">
        <f>'9. Rev_Reqt'!N25</f>
        <v>26972709.674350731</v>
      </c>
    </row>
    <row r="3" spans="1:8" x14ac:dyDescent="0.2">
      <c r="A3" t="str">
        <f>'1. Info'!$G$16</f>
        <v>Milton Hydro Distribution Inc.</v>
      </c>
      <c r="B3" t="str">
        <f>'1. Info'!$G$20</f>
        <v>EB-2022-0049</v>
      </c>
      <c r="C3">
        <f>'1. Info'!$G$28</f>
        <v>2023</v>
      </c>
      <c r="D3">
        <f>'1. Info'!$G$30</f>
        <v>2022</v>
      </c>
      <c r="E3">
        <f>'1. Info'!$G$32</f>
        <v>2016</v>
      </c>
      <c r="F3" s="443" t="s">
        <v>219</v>
      </c>
      <c r="G3" s="725">
        <f>'9. Rev_Reqt'!F28</f>
        <v>24771345.674350731</v>
      </c>
      <c r="H3" s="725">
        <f>'9. Rev_Reqt'!N28</f>
        <v>24771345.674350731</v>
      </c>
    </row>
    <row r="4" spans="1:8" x14ac:dyDescent="0.2">
      <c r="A4" t="str">
        <f>'1. Info'!$G$16</f>
        <v>Milton Hydro Distribution Inc.</v>
      </c>
      <c r="B4" t="str">
        <f>'1. Info'!$G$20</f>
        <v>EB-2022-0049</v>
      </c>
      <c r="C4">
        <f>'1. Info'!$G$28</f>
        <v>2023</v>
      </c>
      <c r="D4">
        <f>'1. Info'!$G$30</f>
        <v>2022</v>
      </c>
      <c r="E4">
        <f>'1. Info'!$G$32</f>
        <v>2016</v>
      </c>
      <c r="F4" s="443" t="s">
        <v>411</v>
      </c>
      <c r="G4" s="725">
        <f>'9. Rev_Reqt'!F46</f>
        <v>4350355.1895631589</v>
      </c>
      <c r="H4" s="725">
        <f>'9. Rev_Reqt'!N46</f>
        <v>4350355.1895631589</v>
      </c>
    </row>
  </sheetData>
  <sheetProtection algorithmName="SHA-512" hashValue="7fa0RZciQb5/Hd9O5dC1tAIAfr4X8cCAuoaqWlphgMamF+GK9QjkPIbLyauh0i8KXEziEdiUBIGQhYP5D5ImBQ==" saltValue="87VDe2p+HOT5dziMi9gEWg=="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92D050"/>
    <pageSetUpPr fitToPage="1"/>
  </sheetPr>
  <dimension ref="B14:V64"/>
  <sheetViews>
    <sheetView showGridLines="0" topLeftCell="A8" zoomScaleNormal="100" workbookViewId="0">
      <selection activeCell="J29" sqref="J29"/>
    </sheetView>
  </sheetViews>
  <sheetFormatPr defaultRowHeight="12.75" x14ac:dyDescent="0.2"/>
  <cols>
    <col min="1" max="1" width="2.28515625" customWidth="1"/>
    <col min="2" max="3" width="3.7109375" customWidth="1"/>
    <col min="4" max="4" width="36.28515625" customWidth="1"/>
    <col min="5" max="5" width="2.5703125" customWidth="1"/>
    <col min="6" max="6" width="16" customWidth="1"/>
    <col min="7" max="7" width="3.140625" customWidth="1"/>
    <col min="8" max="8" width="14.7109375" customWidth="1"/>
    <col min="9" max="9" width="3.28515625" customWidth="1"/>
    <col min="10" max="10" width="12.5703125" customWidth="1"/>
    <col min="11" max="11" width="3" customWidth="1"/>
    <col min="12" max="12" width="16" customWidth="1"/>
    <col min="13" max="13" width="2.85546875" customWidth="1"/>
    <col min="14" max="14" width="13.28515625" customWidth="1"/>
    <col min="15" max="15" width="3.42578125" customWidth="1"/>
    <col min="16" max="16" width="10.85546875" customWidth="1"/>
    <col min="17" max="17" width="4" customWidth="1"/>
    <col min="18" max="18" width="15.5703125" customWidth="1"/>
    <col min="19" max="19" width="3.7109375" customWidth="1"/>
    <col min="20" max="20" width="13" customWidth="1"/>
    <col min="21" max="21" width="3.42578125" customWidth="1"/>
    <col min="22" max="22" width="11.5703125" customWidth="1"/>
  </cols>
  <sheetData>
    <row r="14" spans="2:22" ht="18" x14ac:dyDescent="0.25">
      <c r="B14" s="862" t="s">
        <v>269</v>
      </c>
      <c r="C14" s="862"/>
      <c r="D14" s="862"/>
      <c r="E14" s="862"/>
      <c r="F14" s="862"/>
      <c r="G14" s="862"/>
      <c r="H14" s="862"/>
      <c r="I14" s="862"/>
      <c r="J14" s="862"/>
      <c r="K14" s="862"/>
      <c r="L14" s="862"/>
      <c r="M14" s="862"/>
      <c r="N14" s="862"/>
      <c r="O14" s="862"/>
      <c r="P14" s="862"/>
      <c r="Q14" s="862"/>
      <c r="R14" s="862"/>
      <c r="S14" s="862"/>
      <c r="T14" s="862"/>
      <c r="U14" s="862"/>
      <c r="V14" s="862"/>
    </row>
    <row r="16" spans="2:22" ht="26.25" customHeight="1" x14ac:dyDescent="0.2">
      <c r="B16" s="867" t="s">
        <v>414</v>
      </c>
      <c r="C16" s="868"/>
      <c r="D16" s="868"/>
      <c r="E16" s="868"/>
      <c r="F16" s="868"/>
      <c r="G16" s="868"/>
      <c r="H16" s="868"/>
      <c r="I16" s="868"/>
      <c r="J16" s="868"/>
      <c r="K16" s="868"/>
      <c r="L16" s="868"/>
      <c r="M16" s="868"/>
      <c r="N16" s="868"/>
      <c r="O16" s="868"/>
      <c r="P16" s="868"/>
      <c r="Q16" s="868"/>
      <c r="R16" s="868"/>
      <c r="S16" s="868"/>
      <c r="T16" s="868"/>
      <c r="U16" s="868"/>
      <c r="V16" s="868"/>
    </row>
    <row r="17" spans="2:22" ht="15" customHeight="1" x14ac:dyDescent="0.2">
      <c r="B17" s="686"/>
      <c r="C17" s="686"/>
      <c r="D17" s="686"/>
      <c r="E17" s="686"/>
      <c r="F17" s="686"/>
      <c r="G17" s="686"/>
      <c r="H17" s="686"/>
      <c r="I17" s="686"/>
      <c r="J17" s="686"/>
      <c r="K17" s="686"/>
      <c r="L17" s="686"/>
      <c r="M17" s="686"/>
      <c r="N17" s="686"/>
      <c r="O17" s="686"/>
      <c r="P17" s="686"/>
      <c r="Q17" s="686"/>
      <c r="R17" s="686"/>
      <c r="S17" s="686"/>
      <c r="T17" s="686"/>
      <c r="U17" s="686"/>
      <c r="V17" s="686"/>
    </row>
    <row r="18" spans="2:22" ht="25.5" customHeight="1" x14ac:dyDescent="0.2">
      <c r="B18" s="867" t="s">
        <v>409</v>
      </c>
      <c r="C18" s="868"/>
      <c r="D18" s="868"/>
      <c r="E18" s="868"/>
      <c r="F18" s="868"/>
      <c r="G18" s="868"/>
      <c r="H18" s="868"/>
      <c r="I18" s="868"/>
      <c r="J18" s="868"/>
      <c r="K18" s="868"/>
      <c r="L18" s="868"/>
      <c r="M18" s="868"/>
      <c r="N18" s="868"/>
      <c r="O18" s="868"/>
      <c r="P18" s="868"/>
      <c r="Q18" s="868"/>
      <c r="R18" s="868"/>
      <c r="S18" s="868"/>
      <c r="T18" s="868"/>
      <c r="U18" s="868"/>
      <c r="V18" s="868"/>
    </row>
    <row r="19" spans="2:22" ht="12.75" customHeight="1" x14ac:dyDescent="0.2">
      <c r="B19" s="687"/>
      <c r="C19" s="686"/>
      <c r="D19" s="686"/>
      <c r="E19" s="686"/>
      <c r="F19" s="686"/>
      <c r="G19" s="686"/>
      <c r="H19" s="686"/>
      <c r="I19" s="686"/>
      <c r="J19" s="686"/>
      <c r="K19" s="686"/>
      <c r="L19" s="686"/>
      <c r="M19" s="686"/>
      <c r="N19" s="686"/>
      <c r="O19" s="686"/>
      <c r="P19" s="686"/>
      <c r="Q19" s="686"/>
      <c r="R19" s="686"/>
      <c r="S19" s="686"/>
      <c r="T19" s="686"/>
      <c r="U19" s="686"/>
      <c r="V19" s="686"/>
    </row>
    <row r="20" spans="2:22" ht="14.25" customHeight="1" x14ac:dyDescent="0.2">
      <c r="B20" s="870" t="s">
        <v>408</v>
      </c>
      <c r="C20" s="870"/>
      <c r="D20" s="870"/>
      <c r="E20" s="870"/>
      <c r="F20" s="870"/>
      <c r="G20" s="870"/>
      <c r="H20" s="870"/>
      <c r="I20" s="870"/>
      <c r="J20" s="870"/>
      <c r="K20" s="870"/>
      <c r="L20" s="870"/>
      <c r="M20" s="870"/>
      <c r="N20" s="870"/>
      <c r="O20" s="870"/>
      <c r="P20" s="870"/>
      <c r="Q20" s="870"/>
      <c r="R20" s="870"/>
      <c r="S20" s="870"/>
      <c r="T20" s="870"/>
      <c r="U20" s="870"/>
      <c r="V20" s="870"/>
    </row>
    <row r="22" spans="2:22" x14ac:dyDescent="0.2">
      <c r="D22" s="442" t="s">
        <v>276</v>
      </c>
      <c r="F22" s="869" t="s">
        <v>155</v>
      </c>
      <c r="G22" s="869"/>
      <c r="H22" s="869"/>
      <c r="I22" s="869"/>
      <c r="J22" s="869"/>
    </row>
    <row r="24" spans="2:22" x14ac:dyDescent="0.2">
      <c r="D24" s="469" t="s">
        <v>270</v>
      </c>
      <c r="F24" s="864" t="str">
        <f>'3. Data_Input_Sheet'!E12</f>
        <v>Initial Application</v>
      </c>
      <c r="G24" s="865"/>
      <c r="H24" s="865"/>
      <c r="I24" s="865"/>
      <c r="J24" s="866"/>
      <c r="L24" s="864" t="str">
        <f>IF(ISBLANK('3. Data_Input_Sheet'!M12)," ",'3. Data_Input_Sheet'!M12)</f>
        <v xml:space="preserve"> </v>
      </c>
      <c r="M24" s="865"/>
      <c r="N24" s="865"/>
      <c r="O24" s="865"/>
      <c r="P24" s="866"/>
      <c r="R24" s="864" t="str">
        <f>'3. Data_Input_Sheet'!U12</f>
        <v>Per Board Decision</v>
      </c>
      <c r="S24" s="865"/>
      <c r="T24" s="865"/>
      <c r="U24" s="865"/>
      <c r="V24" s="866"/>
    </row>
    <row r="25" spans="2:22" x14ac:dyDescent="0.2">
      <c r="D25" s="470"/>
      <c r="F25" s="444"/>
      <c r="G25" s="381"/>
      <c r="H25" s="381"/>
      <c r="I25" s="381"/>
      <c r="J25" s="445"/>
      <c r="L25" s="444"/>
      <c r="M25" s="381"/>
      <c r="N25" s="381"/>
      <c r="O25" s="381"/>
      <c r="P25" s="445"/>
      <c r="R25" s="444"/>
      <c r="S25" s="381"/>
      <c r="T25" s="381"/>
      <c r="U25" s="381"/>
      <c r="V25" s="445"/>
    </row>
    <row r="26" spans="2:22" ht="25.5" x14ac:dyDescent="0.2">
      <c r="D26" s="863" t="s">
        <v>302</v>
      </c>
      <c r="F26" s="447" t="s">
        <v>271</v>
      </c>
      <c r="G26" s="690"/>
      <c r="H26" s="690" t="s">
        <v>273</v>
      </c>
      <c r="I26" s="690"/>
      <c r="J26" s="448" t="s">
        <v>312</v>
      </c>
      <c r="K26" s="449"/>
      <c r="L26" s="447" t="str">
        <f>F26</f>
        <v>Customer / Connections</v>
      </c>
      <c r="M26" s="690"/>
      <c r="N26" s="690" t="str">
        <f>H26</f>
        <v>kWh</v>
      </c>
      <c r="O26" s="690"/>
      <c r="P26" s="448" t="s">
        <v>312</v>
      </c>
      <c r="Q26" s="449"/>
      <c r="R26" s="447" t="str">
        <f>F26</f>
        <v>Customer / Connections</v>
      </c>
      <c r="S26" s="690"/>
      <c r="T26" s="690" t="str">
        <f>H26</f>
        <v>kWh</v>
      </c>
      <c r="U26" s="690"/>
      <c r="V26" s="448" t="s">
        <v>312</v>
      </c>
    </row>
    <row r="27" spans="2:22" ht="26.25" customHeight="1" x14ac:dyDescent="0.2">
      <c r="D27" s="863"/>
      <c r="F27" s="450" t="s">
        <v>272</v>
      </c>
      <c r="G27" s="451"/>
      <c r="H27" s="451" t="s">
        <v>274</v>
      </c>
      <c r="I27" s="451"/>
      <c r="J27" s="452" t="s">
        <v>274</v>
      </c>
      <c r="K27" s="449"/>
      <c r="L27" s="450" t="str">
        <f>F27</f>
        <v>Test Year average or mid-year</v>
      </c>
      <c r="M27" s="451"/>
      <c r="N27" s="451" t="str">
        <f>H27</f>
        <v>Annual</v>
      </c>
      <c r="O27" s="451"/>
      <c r="P27" s="452" t="str">
        <f>J27</f>
        <v>Annual</v>
      </c>
      <c r="Q27" s="449"/>
      <c r="R27" s="450" t="str">
        <f>F27</f>
        <v>Test Year average or mid-year</v>
      </c>
      <c r="S27" s="451"/>
      <c r="T27" s="451" t="str">
        <f>H27</f>
        <v>Annual</v>
      </c>
      <c r="U27" s="451"/>
      <c r="V27" s="452" t="str">
        <f>J27</f>
        <v>Annual</v>
      </c>
    </row>
    <row r="28" spans="2:22" ht="10.5" customHeight="1" x14ac:dyDescent="0.2">
      <c r="D28" s="470"/>
      <c r="F28" s="444"/>
      <c r="G28" s="381"/>
      <c r="H28" s="381"/>
      <c r="I28" s="381"/>
      <c r="J28" s="445"/>
      <c r="L28" s="444"/>
      <c r="M28" s="381"/>
      <c r="N28" s="381"/>
      <c r="O28" s="381"/>
      <c r="P28" s="445"/>
      <c r="R28" s="444"/>
      <c r="S28" s="381"/>
      <c r="T28" s="381"/>
      <c r="U28" s="381"/>
      <c r="V28" s="445"/>
    </row>
    <row r="29" spans="2:22" x14ac:dyDescent="0.2">
      <c r="B29" s="442">
        <v>1</v>
      </c>
      <c r="D29" s="610" t="s">
        <v>310</v>
      </c>
      <c r="F29" s="456">
        <v>40087.583333333314</v>
      </c>
      <c r="G29" s="381"/>
      <c r="H29" s="458">
        <v>353525757.92571801</v>
      </c>
      <c r="I29" s="381"/>
      <c r="J29" s="460"/>
      <c r="L29" s="456"/>
      <c r="M29" s="381"/>
      <c r="N29" s="458"/>
      <c r="O29" s="381"/>
      <c r="P29" s="460"/>
      <c r="R29" s="456"/>
      <c r="S29" s="381"/>
      <c r="T29" s="458"/>
      <c r="U29" s="381"/>
      <c r="V29" s="460"/>
    </row>
    <row r="30" spans="2:22" x14ac:dyDescent="0.2">
      <c r="B30" s="442">
        <v>2</v>
      </c>
      <c r="D30" s="519" t="s">
        <v>480</v>
      </c>
      <c r="F30" s="456">
        <v>2989.9091003503345</v>
      </c>
      <c r="G30" s="381"/>
      <c r="H30" s="458">
        <v>87960137.322178766</v>
      </c>
      <c r="I30" s="381"/>
      <c r="J30" s="460"/>
      <c r="L30" s="456"/>
      <c r="M30" s="381"/>
      <c r="N30" s="458"/>
      <c r="O30" s="381"/>
      <c r="P30" s="460"/>
      <c r="R30" s="456"/>
      <c r="S30" s="381"/>
      <c r="T30" s="458"/>
      <c r="U30" s="381"/>
      <c r="V30" s="460"/>
    </row>
    <row r="31" spans="2:22" x14ac:dyDescent="0.2">
      <c r="B31" s="442">
        <v>3</v>
      </c>
      <c r="D31" s="519" t="s">
        <v>481</v>
      </c>
      <c r="F31" s="456">
        <v>343.80146517608017</v>
      </c>
      <c r="G31" s="381"/>
      <c r="H31" s="458"/>
      <c r="I31" s="381"/>
      <c r="J31" s="460">
        <v>595235.629297668</v>
      </c>
      <c r="L31" s="456"/>
      <c r="M31" s="381"/>
      <c r="N31" s="458"/>
      <c r="O31" s="381"/>
      <c r="P31" s="460"/>
      <c r="R31" s="456"/>
      <c r="S31" s="381"/>
      <c r="T31" s="458"/>
      <c r="U31" s="381"/>
      <c r="V31" s="460"/>
    </row>
    <row r="32" spans="2:22" x14ac:dyDescent="0.2">
      <c r="B32" s="442">
        <v>4</v>
      </c>
      <c r="D32" s="519" t="s">
        <v>482</v>
      </c>
      <c r="F32" s="456">
        <v>12</v>
      </c>
      <c r="G32" s="381"/>
      <c r="H32" s="458"/>
      <c r="I32" s="381"/>
      <c r="J32" s="460">
        <v>225593.88847941163</v>
      </c>
      <c r="L32" s="456"/>
      <c r="M32" s="381"/>
      <c r="N32" s="458"/>
      <c r="O32" s="381"/>
      <c r="P32" s="460"/>
      <c r="R32" s="456"/>
      <c r="S32" s="381"/>
      <c r="T32" s="458"/>
      <c r="U32" s="381"/>
      <c r="V32" s="460"/>
    </row>
    <row r="33" spans="2:22" x14ac:dyDescent="0.2">
      <c r="B33" s="442">
        <v>5</v>
      </c>
      <c r="D33" s="519" t="s">
        <v>483</v>
      </c>
      <c r="F33" s="456">
        <v>3</v>
      </c>
      <c r="G33" s="381"/>
      <c r="H33" s="458"/>
      <c r="I33" s="381"/>
      <c r="J33" s="460">
        <v>260034.12639671177</v>
      </c>
      <c r="L33" s="456"/>
      <c r="M33" s="381"/>
      <c r="N33" s="458"/>
      <c r="O33" s="381"/>
      <c r="P33" s="460"/>
      <c r="R33" s="456"/>
      <c r="S33" s="381"/>
      <c r="T33" s="458"/>
      <c r="U33" s="381"/>
      <c r="V33" s="460"/>
    </row>
    <row r="34" spans="2:22" x14ac:dyDescent="0.2">
      <c r="B34" s="442">
        <v>6</v>
      </c>
      <c r="D34" s="519" t="s">
        <v>484</v>
      </c>
      <c r="F34" s="456">
        <v>2919.41159236661</v>
      </c>
      <c r="G34" s="381"/>
      <c r="H34" s="458"/>
      <c r="I34" s="381"/>
      <c r="J34" s="460">
        <v>14179.063705514967</v>
      </c>
      <c r="L34" s="456"/>
      <c r="M34" s="381"/>
      <c r="N34" s="458"/>
      <c r="O34" s="381"/>
      <c r="P34" s="460"/>
      <c r="R34" s="456"/>
      <c r="S34" s="381"/>
      <c r="T34" s="458"/>
      <c r="U34" s="381"/>
      <c r="V34" s="460"/>
    </row>
    <row r="35" spans="2:22" x14ac:dyDescent="0.2">
      <c r="B35" s="442">
        <v>7</v>
      </c>
      <c r="D35" s="519" t="s">
        <v>488</v>
      </c>
      <c r="F35" s="456">
        <v>231.19110332107795</v>
      </c>
      <c r="G35" s="381"/>
      <c r="H35" s="458"/>
      <c r="I35" s="381"/>
      <c r="J35" s="460">
        <v>377.84475452316417</v>
      </c>
      <c r="L35" s="456"/>
      <c r="M35" s="381"/>
      <c r="N35" s="458"/>
      <c r="O35" s="381"/>
      <c r="P35" s="460"/>
      <c r="R35" s="456"/>
      <c r="S35" s="381"/>
      <c r="T35" s="458"/>
      <c r="U35" s="381"/>
      <c r="V35" s="460"/>
    </row>
    <row r="36" spans="2:22" x14ac:dyDescent="0.2">
      <c r="B36" s="442">
        <v>8</v>
      </c>
      <c r="D36" s="471" t="s">
        <v>485</v>
      </c>
      <c r="F36" s="456">
        <v>222.86475388975543</v>
      </c>
      <c r="G36" s="381"/>
      <c r="H36" s="458">
        <v>1067791.2606439681</v>
      </c>
      <c r="I36" s="381"/>
      <c r="J36" s="460"/>
      <c r="L36" s="456"/>
      <c r="M36" s="381"/>
      <c r="N36" s="458"/>
      <c r="O36" s="381"/>
      <c r="P36" s="460"/>
      <c r="R36" s="456"/>
      <c r="S36" s="381"/>
      <c r="T36" s="458"/>
      <c r="U36" s="381"/>
      <c r="V36" s="460"/>
    </row>
    <row r="37" spans="2:22" x14ac:dyDescent="0.2">
      <c r="B37" s="442">
        <v>9</v>
      </c>
      <c r="D37" s="471"/>
      <c r="F37" s="456"/>
      <c r="G37" s="381"/>
      <c r="H37" s="458"/>
      <c r="I37" s="381"/>
      <c r="J37" s="460"/>
      <c r="L37" s="456"/>
      <c r="M37" s="381"/>
      <c r="N37" s="458"/>
      <c r="O37" s="381"/>
      <c r="P37" s="460"/>
      <c r="R37" s="456"/>
      <c r="S37" s="381"/>
      <c r="T37" s="458"/>
      <c r="U37" s="381"/>
      <c r="V37" s="460"/>
    </row>
    <row r="38" spans="2:22" x14ac:dyDescent="0.2">
      <c r="B38" s="442">
        <v>10</v>
      </c>
      <c r="D38" s="471"/>
      <c r="F38" s="456"/>
      <c r="G38" s="381"/>
      <c r="H38" s="458"/>
      <c r="I38" s="381"/>
      <c r="J38" s="460"/>
      <c r="L38" s="456"/>
      <c r="M38" s="381"/>
      <c r="N38" s="458"/>
      <c r="O38" s="381"/>
      <c r="P38" s="460"/>
      <c r="R38" s="456"/>
      <c r="S38" s="381"/>
      <c r="T38" s="458"/>
      <c r="U38" s="381"/>
      <c r="V38" s="460"/>
    </row>
    <row r="39" spans="2:22" x14ac:dyDescent="0.2">
      <c r="B39" s="442">
        <v>11</v>
      </c>
      <c r="D39" s="471"/>
      <c r="F39" s="456"/>
      <c r="G39" s="381"/>
      <c r="H39" s="458"/>
      <c r="I39" s="381"/>
      <c r="J39" s="460"/>
      <c r="L39" s="456"/>
      <c r="M39" s="381"/>
      <c r="N39" s="458"/>
      <c r="O39" s="381"/>
      <c r="P39" s="460"/>
      <c r="R39" s="456"/>
      <c r="S39" s="381"/>
      <c r="T39" s="458"/>
      <c r="U39" s="381"/>
      <c r="V39" s="460"/>
    </row>
    <row r="40" spans="2:22" x14ac:dyDescent="0.2">
      <c r="B40" s="442">
        <v>12</v>
      </c>
      <c r="D40" s="471"/>
      <c r="F40" s="456"/>
      <c r="G40" s="381"/>
      <c r="H40" s="458"/>
      <c r="I40" s="381"/>
      <c r="J40" s="460"/>
      <c r="L40" s="456"/>
      <c r="M40" s="381"/>
      <c r="N40" s="458"/>
      <c r="O40" s="381"/>
      <c r="P40" s="460"/>
      <c r="R40" s="456"/>
      <c r="S40" s="381"/>
      <c r="T40" s="458"/>
      <c r="U40" s="381"/>
      <c r="V40" s="460"/>
    </row>
    <row r="41" spans="2:22" x14ac:dyDescent="0.2">
      <c r="B41" s="442">
        <v>13</v>
      </c>
      <c r="D41" s="471"/>
      <c r="F41" s="456"/>
      <c r="G41" s="381"/>
      <c r="H41" s="458"/>
      <c r="I41" s="381"/>
      <c r="J41" s="460"/>
      <c r="L41" s="456"/>
      <c r="M41" s="381"/>
      <c r="N41" s="458"/>
      <c r="O41" s="381"/>
      <c r="P41" s="460"/>
      <c r="R41" s="456"/>
      <c r="S41" s="381"/>
      <c r="T41" s="458"/>
      <c r="U41" s="381"/>
      <c r="V41" s="460"/>
    </row>
    <row r="42" spans="2:22" x14ac:dyDescent="0.2">
      <c r="B42" s="442">
        <v>14</v>
      </c>
      <c r="D42" s="471"/>
      <c r="F42" s="456"/>
      <c r="G42" s="381"/>
      <c r="H42" s="458"/>
      <c r="I42" s="381"/>
      <c r="J42" s="460"/>
      <c r="L42" s="456"/>
      <c r="M42" s="381"/>
      <c r="N42" s="458"/>
      <c r="O42" s="381"/>
      <c r="P42" s="460"/>
      <c r="R42" s="456"/>
      <c r="S42" s="381"/>
      <c r="T42" s="458"/>
      <c r="U42" s="381"/>
      <c r="V42" s="460"/>
    </row>
    <row r="43" spans="2:22" x14ac:dyDescent="0.2">
      <c r="B43" s="442">
        <v>15</v>
      </c>
      <c r="D43" s="471"/>
      <c r="F43" s="456"/>
      <c r="G43" s="381"/>
      <c r="H43" s="458"/>
      <c r="I43" s="381"/>
      <c r="J43" s="460"/>
      <c r="L43" s="456"/>
      <c r="M43" s="381"/>
      <c r="N43" s="458"/>
      <c r="O43" s="381"/>
      <c r="P43" s="460"/>
      <c r="R43" s="456"/>
      <c r="S43" s="381"/>
      <c r="T43" s="458"/>
      <c r="U43" s="381"/>
      <c r="V43" s="460"/>
    </row>
    <row r="44" spans="2:22" x14ac:dyDescent="0.2">
      <c r="B44" s="442">
        <v>16</v>
      </c>
      <c r="D44" s="471"/>
      <c r="F44" s="456"/>
      <c r="G44" s="381"/>
      <c r="H44" s="458"/>
      <c r="I44" s="381"/>
      <c r="J44" s="460"/>
      <c r="L44" s="456"/>
      <c r="M44" s="381"/>
      <c r="N44" s="458"/>
      <c r="O44" s="381"/>
      <c r="P44" s="460"/>
      <c r="R44" s="456"/>
      <c r="S44" s="381"/>
      <c r="T44" s="458"/>
      <c r="U44" s="381"/>
      <c r="V44" s="460"/>
    </row>
    <row r="45" spans="2:22" x14ac:dyDescent="0.2">
      <c r="B45" s="442">
        <v>17</v>
      </c>
      <c r="D45" s="471"/>
      <c r="F45" s="456"/>
      <c r="G45" s="381"/>
      <c r="H45" s="458"/>
      <c r="I45" s="381"/>
      <c r="J45" s="460"/>
      <c r="L45" s="456"/>
      <c r="M45" s="381"/>
      <c r="N45" s="458"/>
      <c r="O45" s="381"/>
      <c r="P45" s="460"/>
      <c r="R45" s="456"/>
      <c r="S45" s="381"/>
      <c r="T45" s="458"/>
      <c r="U45" s="381"/>
      <c r="V45" s="460"/>
    </row>
    <row r="46" spans="2:22" x14ac:dyDescent="0.2">
      <c r="B46" s="442">
        <v>18</v>
      </c>
      <c r="D46" s="471"/>
      <c r="F46" s="456"/>
      <c r="G46" s="381"/>
      <c r="H46" s="458"/>
      <c r="I46" s="381"/>
      <c r="J46" s="460"/>
      <c r="L46" s="456"/>
      <c r="M46" s="381"/>
      <c r="N46" s="458"/>
      <c r="O46" s="381"/>
      <c r="P46" s="460"/>
      <c r="R46" s="456"/>
      <c r="S46" s="381"/>
      <c r="T46" s="458"/>
      <c r="U46" s="381"/>
      <c r="V46" s="460"/>
    </row>
    <row r="47" spans="2:22" x14ac:dyDescent="0.2">
      <c r="B47" s="442">
        <v>19</v>
      </c>
      <c r="D47" s="471"/>
      <c r="F47" s="456"/>
      <c r="G47" s="381"/>
      <c r="H47" s="458"/>
      <c r="I47" s="381"/>
      <c r="J47" s="460"/>
      <c r="L47" s="456"/>
      <c r="M47" s="381"/>
      <c r="N47" s="458"/>
      <c r="O47" s="381"/>
      <c r="P47" s="460"/>
      <c r="R47" s="456"/>
      <c r="S47" s="381"/>
      <c r="T47" s="458"/>
      <c r="U47" s="381"/>
      <c r="V47" s="460"/>
    </row>
    <row r="48" spans="2:22" x14ac:dyDescent="0.2">
      <c r="B48" s="442">
        <v>20</v>
      </c>
      <c r="D48" s="472"/>
      <c r="F48" s="457"/>
      <c r="G48" s="446"/>
      <c r="H48" s="459"/>
      <c r="I48" s="446"/>
      <c r="J48" s="461"/>
      <c r="L48" s="457"/>
      <c r="M48" s="446"/>
      <c r="N48" s="459"/>
      <c r="O48" s="446"/>
      <c r="P48" s="461"/>
      <c r="R48" s="457"/>
      <c r="S48" s="446"/>
      <c r="T48" s="459"/>
      <c r="U48" s="446"/>
      <c r="V48" s="461"/>
    </row>
    <row r="50" spans="2:22" x14ac:dyDescent="0.2">
      <c r="D50" s="442" t="s">
        <v>19</v>
      </c>
      <c r="E50" s="442"/>
      <c r="F50" s="442"/>
      <c r="G50" s="442"/>
      <c r="H50" s="587">
        <f>SUM(H29:H48)</f>
        <v>442553686.50854075</v>
      </c>
      <c r="J50" s="587">
        <f>SUM(J29:J48)</f>
        <v>1095420.5526338294</v>
      </c>
      <c r="N50" s="587">
        <f>SUM(N29:N48)</f>
        <v>0</v>
      </c>
      <c r="P50" s="587">
        <f>SUM(P29:P48)</f>
        <v>0</v>
      </c>
      <c r="T50" s="587">
        <f>SUM(T29:T48)</f>
        <v>0</v>
      </c>
      <c r="V50" s="587">
        <f>SUM(V29:V48)</f>
        <v>0</v>
      </c>
    </row>
    <row r="52" spans="2:22" x14ac:dyDescent="0.2">
      <c r="B52" s="442" t="s">
        <v>42</v>
      </c>
    </row>
    <row r="54" spans="2:22" ht="14.25" x14ac:dyDescent="0.2">
      <c r="B54" s="473" t="s">
        <v>2</v>
      </c>
      <c r="C54" s="443" t="s">
        <v>401</v>
      </c>
    </row>
    <row r="55" spans="2:22" x14ac:dyDescent="0.2">
      <c r="C55" s="827"/>
      <c r="D55" s="827"/>
      <c r="E55" s="827"/>
      <c r="F55" s="827"/>
      <c r="G55" s="827"/>
      <c r="H55" s="827"/>
      <c r="I55" s="827"/>
      <c r="J55" s="827"/>
      <c r="K55" s="827"/>
      <c r="L55" s="827"/>
      <c r="M55" s="827"/>
      <c r="N55" s="827"/>
      <c r="O55" s="827"/>
      <c r="P55" s="827"/>
      <c r="Q55" s="827"/>
      <c r="R55" s="827"/>
      <c r="S55" s="827"/>
      <c r="T55" s="827"/>
      <c r="U55" s="827"/>
      <c r="V55" s="827"/>
    </row>
    <row r="56" spans="2:22" x14ac:dyDescent="0.2">
      <c r="C56" s="827"/>
      <c r="D56" s="827"/>
      <c r="E56" s="827"/>
      <c r="F56" s="827"/>
      <c r="G56" s="827"/>
      <c r="H56" s="827"/>
      <c r="I56" s="827"/>
      <c r="J56" s="827"/>
      <c r="K56" s="827"/>
      <c r="L56" s="827"/>
      <c r="M56" s="827"/>
      <c r="N56" s="827"/>
      <c r="O56" s="827"/>
      <c r="P56" s="827"/>
      <c r="Q56" s="827"/>
      <c r="R56" s="827"/>
      <c r="S56" s="827"/>
      <c r="T56" s="827"/>
      <c r="U56" s="827"/>
      <c r="V56" s="827"/>
    </row>
    <row r="57" spans="2:22" x14ac:dyDescent="0.2">
      <c r="C57" s="827"/>
      <c r="D57" s="827"/>
      <c r="E57" s="827"/>
      <c r="F57" s="827"/>
      <c r="G57" s="827"/>
      <c r="H57" s="827"/>
      <c r="I57" s="827"/>
      <c r="J57" s="827"/>
      <c r="K57" s="827"/>
      <c r="L57" s="827"/>
      <c r="M57" s="827"/>
      <c r="N57" s="827"/>
      <c r="O57" s="827"/>
      <c r="P57" s="827"/>
      <c r="Q57" s="827"/>
      <c r="R57" s="827"/>
      <c r="S57" s="827"/>
      <c r="T57" s="827"/>
      <c r="U57" s="827"/>
      <c r="V57" s="827"/>
    </row>
    <row r="58" spans="2:22" x14ac:dyDescent="0.2">
      <c r="C58" s="827"/>
      <c r="D58" s="827"/>
      <c r="E58" s="827"/>
      <c r="F58" s="827"/>
      <c r="G58" s="827"/>
      <c r="H58" s="827"/>
      <c r="I58" s="827"/>
      <c r="J58" s="827"/>
      <c r="K58" s="827"/>
      <c r="L58" s="827"/>
      <c r="M58" s="827"/>
      <c r="N58" s="827"/>
      <c r="O58" s="827"/>
      <c r="P58" s="827"/>
      <c r="Q58" s="827"/>
      <c r="R58" s="827"/>
      <c r="S58" s="827"/>
      <c r="T58" s="827"/>
      <c r="U58" s="827"/>
      <c r="V58" s="827"/>
    </row>
    <row r="59" spans="2:22" x14ac:dyDescent="0.2">
      <c r="C59" s="827"/>
      <c r="D59" s="827"/>
      <c r="E59" s="827"/>
      <c r="F59" s="827"/>
      <c r="G59" s="827"/>
      <c r="H59" s="827"/>
      <c r="I59" s="827"/>
      <c r="J59" s="827"/>
      <c r="K59" s="827"/>
      <c r="L59" s="827"/>
      <c r="M59" s="827"/>
      <c r="N59" s="827"/>
      <c r="O59" s="827"/>
      <c r="P59" s="827"/>
      <c r="Q59" s="827"/>
      <c r="R59" s="827"/>
      <c r="S59" s="827"/>
      <c r="T59" s="827"/>
      <c r="U59" s="827"/>
      <c r="V59" s="827"/>
    </row>
    <row r="60" spans="2:22" x14ac:dyDescent="0.2">
      <c r="C60" s="827"/>
      <c r="D60" s="827"/>
      <c r="E60" s="827"/>
      <c r="F60" s="827"/>
      <c r="G60" s="827"/>
      <c r="H60" s="827"/>
      <c r="I60" s="827"/>
      <c r="J60" s="827"/>
      <c r="K60" s="827"/>
      <c r="L60" s="827"/>
      <c r="M60" s="827"/>
      <c r="N60" s="827"/>
      <c r="O60" s="827"/>
      <c r="P60" s="827"/>
      <c r="Q60" s="827"/>
      <c r="R60" s="827"/>
      <c r="S60" s="827"/>
      <c r="T60" s="827"/>
      <c r="U60" s="827"/>
      <c r="V60" s="827"/>
    </row>
    <row r="61" spans="2:22" x14ac:dyDescent="0.2">
      <c r="C61" s="827"/>
      <c r="D61" s="827"/>
      <c r="E61" s="827"/>
      <c r="F61" s="827"/>
      <c r="G61" s="827"/>
      <c r="H61" s="827"/>
      <c r="I61" s="827"/>
      <c r="J61" s="827"/>
      <c r="K61" s="827"/>
      <c r="L61" s="827"/>
      <c r="M61" s="827"/>
      <c r="N61" s="827"/>
      <c r="O61" s="827"/>
      <c r="P61" s="827"/>
      <c r="Q61" s="827"/>
      <c r="R61" s="827"/>
      <c r="S61" s="827"/>
      <c r="T61" s="827"/>
      <c r="U61" s="827"/>
      <c r="V61" s="827"/>
    </row>
    <row r="62" spans="2:22" x14ac:dyDescent="0.2">
      <c r="C62" s="827"/>
      <c r="D62" s="827"/>
      <c r="E62" s="827"/>
      <c r="F62" s="827"/>
      <c r="G62" s="827"/>
      <c r="H62" s="827"/>
      <c r="I62" s="827"/>
      <c r="J62" s="827"/>
      <c r="K62" s="827"/>
      <c r="L62" s="827"/>
      <c r="M62" s="827"/>
      <c r="N62" s="827"/>
      <c r="O62" s="827"/>
      <c r="P62" s="827"/>
      <c r="Q62" s="827"/>
      <c r="R62" s="827"/>
      <c r="S62" s="827"/>
      <c r="T62" s="827"/>
      <c r="U62" s="827"/>
      <c r="V62" s="827"/>
    </row>
    <row r="63" spans="2:22" x14ac:dyDescent="0.2">
      <c r="C63" s="827"/>
      <c r="D63" s="827"/>
      <c r="E63" s="827"/>
      <c r="F63" s="827"/>
      <c r="G63" s="827"/>
      <c r="H63" s="827"/>
      <c r="I63" s="827"/>
      <c r="J63" s="827"/>
      <c r="K63" s="827"/>
      <c r="L63" s="827"/>
      <c r="M63" s="827"/>
      <c r="N63" s="827"/>
      <c r="O63" s="827"/>
      <c r="P63" s="827"/>
      <c r="Q63" s="827"/>
      <c r="R63" s="827"/>
      <c r="S63" s="827"/>
      <c r="T63" s="827"/>
      <c r="U63" s="827"/>
      <c r="V63" s="827"/>
    </row>
    <row r="64" spans="2:22" x14ac:dyDescent="0.2">
      <c r="C64" s="827"/>
      <c r="D64" s="827"/>
      <c r="E64" s="827"/>
      <c r="F64" s="827"/>
      <c r="G64" s="827"/>
      <c r="H64" s="827"/>
      <c r="I64" s="827"/>
      <c r="J64" s="827"/>
      <c r="K64" s="827"/>
      <c r="L64" s="827"/>
      <c r="M64" s="827"/>
      <c r="N64" s="827"/>
      <c r="O64" s="827"/>
      <c r="P64" s="827"/>
      <c r="Q64" s="827"/>
      <c r="R64" s="827"/>
      <c r="S64" s="827"/>
      <c r="T64" s="827"/>
      <c r="U64" s="827"/>
      <c r="V64" s="827"/>
    </row>
  </sheetData>
  <mergeCells count="19">
    <mergeCell ref="C63:V63"/>
    <mergeCell ref="C64:V64"/>
    <mergeCell ref="C55:V55"/>
    <mergeCell ref="C56:V56"/>
    <mergeCell ref="C57:V57"/>
    <mergeCell ref="C58:V58"/>
    <mergeCell ref="C59:V59"/>
    <mergeCell ref="B14:V14"/>
    <mergeCell ref="D26:D27"/>
    <mergeCell ref="C60:V60"/>
    <mergeCell ref="C61:V61"/>
    <mergeCell ref="C62:V62"/>
    <mergeCell ref="F24:J24"/>
    <mergeCell ref="L24:P24"/>
    <mergeCell ref="R24:V24"/>
    <mergeCell ref="B16:V16"/>
    <mergeCell ref="B18:V18"/>
    <mergeCell ref="F22:J22"/>
    <mergeCell ref="B20:V20"/>
  </mergeCells>
  <pageMargins left="0.31496062992125984" right="0.31496062992125984" top="0.74803149606299213" bottom="0.74803149606299213" header="0.31496062992125984" footer="0.31496062992125984"/>
  <pageSetup scale="67"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'13. Rate Design'!$AC$4:$AC$6</xm:f>
          </x14:formula1>
          <xm:sqref>F22:J22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92D050"/>
    <pageSetUpPr fitToPage="1"/>
  </sheetPr>
  <dimension ref="B13:O155"/>
  <sheetViews>
    <sheetView view="pageBreakPreview" topLeftCell="A11" zoomScale="80" zoomScaleNormal="100" zoomScaleSheetLayoutView="80" workbookViewId="0">
      <selection activeCell="J29" sqref="J29"/>
    </sheetView>
  </sheetViews>
  <sheetFormatPr defaultRowHeight="12.75" x14ac:dyDescent="0.2"/>
  <cols>
    <col min="1" max="1" width="2.5703125" customWidth="1"/>
    <col min="2" max="2" width="4.42578125" customWidth="1"/>
    <col min="3" max="3" width="30.7109375" customWidth="1"/>
    <col min="4" max="4" width="1.7109375" customWidth="1"/>
    <col min="5" max="5" width="19.7109375" customWidth="1"/>
    <col min="6" max="6" width="1.7109375" customWidth="1"/>
    <col min="7" max="7" width="19.7109375" customWidth="1"/>
    <col min="8" max="8" width="2" customWidth="1"/>
    <col min="9" max="9" width="20.5703125" customWidth="1"/>
    <col min="10" max="10" width="1.7109375" customWidth="1"/>
    <col min="11" max="11" width="19.7109375" customWidth="1"/>
    <col min="12" max="12" width="4.85546875" customWidth="1"/>
    <col min="13" max="13" width="2.5703125" customWidth="1"/>
    <col min="14" max="14" width="7.28515625" customWidth="1"/>
  </cols>
  <sheetData>
    <row r="13" spans="2:15" ht="9" customHeight="1" x14ac:dyDescent="0.2"/>
    <row r="14" spans="2:15" ht="17.25" customHeight="1" x14ac:dyDescent="0.25">
      <c r="B14" s="872" t="s">
        <v>320</v>
      </c>
      <c r="C14" s="872"/>
      <c r="D14" s="872"/>
      <c r="E14" s="872"/>
      <c r="F14" s="872"/>
      <c r="G14" s="872"/>
      <c r="H14" s="872"/>
      <c r="I14" s="872"/>
      <c r="J14" s="872"/>
      <c r="K14" s="872"/>
      <c r="L14" s="872"/>
      <c r="M14" s="872"/>
      <c r="N14" s="872"/>
      <c r="O14" s="872"/>
    </row>
    <row r="15" spans="2:15" ht="9" customHeight="1" x14ac:dyDescent="0.2"/>
    <row r="16" spans="2:15" ht="30" customHeight="1" x14ac:dyDescent="0.2">
      <c r="B16" s="876" t="s">
        <v>314</v>
      </c>
      <c r="C16" s="876"/>
      <c r="D16" s="876"/>
      <c r="E16" s="876"/>
      <c r="F16" s="876"/>
      <c r="G16" s="876"/>
      <c r="H16" s="876"/>
      <c r="I16" s="876"/>
      <c r="J16" s="876"/>
      <c r="K16" s="876"/>
      <c r="L16" s="876"/>
      <c r="M16" s="744"/>
      <c r="N16" s="744"/>
      <c r="O16" s="744"/>
    </row>
    <row r="17" spans="2:15" ht="13.5" hidden="1" customHeight="1" x14ac:dyDescent="0.2">
      <c r="B17" s="688"/>
      <c r="C17" s="688"/>
      <c r="D17" s="688"/>
      <c r="E17" s="688"/>
      <c r="F17" s="688"/>
      <c r="G17" s="688"/>
      <c r="H17" s="688"/>
      <c r="I17" s="688"/>
      <c r="J17" s="688"/>
      <c r="K17" s="688"/>
      <c r="L17" s="688"/>
      <c r="M17" s="688"/>
      <c r="N17" s="688"/>
      <c r="O17" s="688"/>
    </row>
    <row r="18" spans="2:15" ht="30" hidden="1" customHeight="1" x14ac:dyDescent="0.2">
      <c r="B18" s="688"/>
      <c r="C18" s="688"/>
      <c r="D18" s="688"/>
      <c r="E18" s="688"/>
      <c r="F18" s="688"/>
      <c r="G18" s="688"/>
      <c r="H18" s="688"/>
      <c r="I18" s="688"/>
      <c r="J18" s="688"/>
      <c r="K18" s="688"/>
      <c r="L18" s="688"/>
      <c r="M18" s="688"/>
      <c r="N18" s="688"/>
      <c r="O18" s="688"/>
    </row>
    <row r="19" spans="2:15" ht="9" customHeight="1" x14ac:dyDescent="0.2">
      <c r="B19" s="688"/>
      <c r="C19" s="688"/>
      <c r="D19" s="688"/>
      <c r="E19" s="688"/>
      <c r="F19" s="688"/>
      <c r="G19" s="688"/>
      <c r="H19" s="688"/>
      <c r="I19" s="688"/>
      <c r="J19" s="688"/>
      <c r="K19" s="688"/>
      <c r="L19" s="688"/>
      <c r="M19" s="688"/>
      <c r="N19" s="688"/>
      <c r="O19" s="688"/>
    </row>
    <row r="20" spans="2:15" ht="13.5" customHeight="1" x14ac:dyDescent="0.2">
      <c r="B20" s="688"/>
      <c r="C20" s="701" t="s">
        <v>318</v>
      </c>
      <c r="D20" s="688"/>
      <c r="E20" s="875" t="str">
        <f>IF(ISBLANK('10. Load Forecast'!F22),"",'10. Load Forecast'!F22)</f>
        <v>Initial Application</v>
      </c>
      <c r="F20" s="875"/>
      <c r="G20" s="875"/>
      <c r="H20" s="688"/>
      <c r="I20" s="688"/>
      <c r="J20" s="688"/>
      <c r="K20" s="688"/>
      <c r="L20" s="688"/>
      <c r="M20" s="688"/>
      <c r="N20" s="688"/>
      <c r="O20" s="688"/>
    </row>
    <row r="21" spans="2:15" ht="9" customHeight="1" x14ac:dyDescent="0.2">
      <c r="B21" s="688"/>
      <c r="C21" s="701"/>
      <c r="D21" s="688"/>
      <c r="E21" s="521"/>
      <c r="F21" s="521"/>
      <c r="G21" s="521"/>
      <c r="H21" s="688"/>
      <c r="I21" s="688"/>
      <c r="J21" s="688"/>
      <c r="K21" s="688"/>
      <c r="L21" s="688"/>
      <c r="M21" s="688"/>
      <c r="N21" s="688"/>
      <c r="O21" s="688"/>
    </row>
    <row r="22" spans="2:15" ht="13.5" customHeight="1" x14ac:dyDescent="0.2">
      <c r="B22" s="689" t="s">
        <v>316</v>
      </c>
      <c r="C22" s="689" t="s">
        <v>317</v>
      </c>
      <c r="D22" s="688"/>
      <c r="E22" s="521"/>
      <c r="F22" s="521"/>
      <c r="G22" s="521"/>
      <c r="H22" s="688"/>
      <c r="I22" s="688"/>
      <c r="J22" s="688"/>
      <c r="K22" s="688"/>
      <c r="L22" s="688"/>
      <c r="M22" s="688"/>
      <c r="N22" s="688"/>
      <c r="O22" s="688"/>
    </row>
    <row r="23" spans="2:15" ht="9" customHeight="1" thickBot="1" x14ac:dyDescent="0.25"/>
    <row r="24" spans="2:15" ht="26.25" customHeight="1" x14ac:dyDescent="0.2">
      <c r="B24" s="524"/>
      <c r="C24" s="525" t="s">
        <v>325</v>
      </c>
      <c r="D24" s="504"/>
      <c r="E24" s="693" t="s">
        <v>324</v>
      </c>
      <c r="F24" s="504"/>
      <c r="G24" s="526" t="s">
        <v>315</v>
      </c>
      <c r="H24" s="504"/>
      <c r="I24" s="873" t="s">
        <v>311</v>
      </c>
      <c r="J24" s="504"/>
      <c r="K24" s="693" t="s">
        <v>315</v>
      </c>
      <c r="L24" s="502"/>
    </row>
    <row r="25" spans="2:15" ht="15.75" customHeight="1" x14ac:dyDescent="0.2">
      <c r="B25" s="506"/>
      <c r="C25" s="527" t="s">
        <v>309</v>
      </c>
      <c r="D25" s="381"/>
      <c r="E25" s="381"/>
      <c r="F25" s="381"/>
      <c r="G25" s="381"/>
      <c r="H25" s="381"/>
      <c r="I25" s="874"/>
      <c r="J25" s="381"/>
      <c r="K25" s="537"/>
      <c r="L25" s="380"/>
    </row>
    <row r="26" spans="2:15" ht="15.75" customHeight="1" x14ac:dyDescent="0.2">
      <c r="B26" s="506"/>
      <c r="C26" s="527"/>
      <c r="D26" s="381"/>
      <c r="E26" s="381"/>
      <c r="F26" s="381"/>
      <c r="G26" s="381"/>
      <c r="H26" s="381"/>
      <c r="I26" s="528" t="s">
        <v>327</v>
      </c>
      <c r="J26" s="381"/>
      <c r="K26" s="537"/>
      <c r="L26" s="380"/>
    </row>
    <row r="27" spans="2:15" ht="7.5" customHeight="1" thickBot="1" x14ac:dyDescent="0.25">
      <c r="B27" s="506"/>
      <c r="C27" s="381"/>
      <c r="D27" s="381"/>
      <c r="E27" s="381"/>
      <c r="F27" s="381"/>
      <c r="G27" s="381"/>
      <c r="H27" s="381"/>
      <c r="I27" s="381"/>
      <c r="J27" s="381"/>
      <c r="K27" s="495"/>
      <c r="L27" s="380"/>
    </row>
    <row r="28" spans="2:15" x14ac:dyDescent="0.2">
      <c r="B28" s="506">
        <v>1</v>
      </c>
      <c r="C28" s="703" t="str">
        <f>IF(ISBLANK('10. Load Forecast'!D29),"",'10. Load Forecast'!D29)</f>
        <v>Residential</v>
      </c>
      <c r="D28" s="504"/>
      <c r="E28" s="611">
        <v>10963822.898162251</v>
      </c>
      <c r="F28" s="504"/>
      <c r="G28" s="565">
        <f>IF(E$49=0,"",E28/E$49)</f>
        <v>0.67234609957025548</v>
      </c>
      <c r="H28" s="504"/>
      <c r="I28" s="611">
        <v>18708337.179449253</v>
      </c>
      <c r="J28" s="504"/>
      <c r="K28" s="570">
        <f>IF(I$49=0,"",I28/I$49)</f>
        <v>0.69360243762381946</v>
      </c>
      <c r="L28" s="382"/>
    </row>
    <row r="29" spans="2:15" x14ac:dyDescent="0.2">
      <c r="B29" s="506">
        <v>2</v>
      </c>
      <c r="C29" s="704" t="str">
        <f>IF(ISBLANK('10. Load Forecast'!D30),"",'10. Load Forecast'!D30)</f>
        <v>GS &lt; 50 kW</v>
      </c>
      <c r="D29" s="381"/>
      <c r="E29" s="612">
        <v>2107285.2379291565</v>
      </c>
      <c r="F29" s="381"/>
      <c r="G29" s="566">
        <f t="shared" ref="G29:G47" si="0">IF(E$49=0,"",E29/E$49)</f>
        <v>0.1292272798971546</v>
      </c>
      <c r="H29" s="381"/>
      <c r="I29" s="612">
        <v>3161606.905360403</v>
      </c>
      <c r="J29" s="381"/>
      <c r="K29" s="571">
        <f t="shared" ref="K29:K47" si="1">IF(I$49=0,"",I29/I$49)</f>
        <v>0.11721502746781431</v>
      </c>
      <c r="L29" s="382"/>
    </row>
    <row r="30" spans="2:15" x14ac:dyDescent="0.2">
      <c r="B30" s="506">
        <v>3</v>
      </c>
      <c r="C30" s="704" t="str">
        <f>IF(ISBLANK('10. Load Forecast'!D31),"",'10. Load Forecast'!D31)</f>
        <v>GS &gt;50 to 999 kW</v>
      </c>
      <c r="D30" s="381"/>
      <c r="E30" s="612">
        <v>1896276.2346333114</v>
      </c>
      <c r="F30" s="381"/>
      <c r="G30" s="566">
        <f t="shared" si="0"/>
        <v>0.11628735176643398</v>
      </c>
      <c r="H30" s="381"/>
      <c r="I30" s="612">
        <v>3418069.2229464212</v>
      </c>
      <c r="J30" s="381"/>
      <c r="K30" s="571">
        <f t="shared" si="1"/>
        <v>0.12672324227761136</v>
      </c>
      <c r="L30" s="382"/>
    </row>
    <row r="31" spans="2:15" x14ac:dyDescent="0.2">
      <c r="B31" s="506">
        <v>4</v>
      </c>
      <c r="C31" s="704" t="str">
        <f>IF(ISBLANK('10. Load Forecast'!D32),"",'10. Load Forecast'!D32)</f>
        <v>GS &gt;1000 to 4999 kW</v>
      </c>
      <c r="D31" s="381"/>
      <c r="E31" s="612">
        <v>477712.75766075496</v>
      </c>
      <c r="F31" s="381"/>
      <c r="G31" s="566">
        <f t="shared" si="0"/>
        <v>2.9295284346666766E-2</v>
      </c>
      <c r="H31" s="381"/>
      <c r="I31" s="612">
        <v>555620.24615457898</v>
      </c>
      <c r="J31" s="381"/>
      <c r="K31" s="571">
        <f t="shared" si="1"/>
        <v>2.0599348484551295E-2</v>
      </c>
      <c r="L31" s="382"/>
    </row>
    <row r="32" spans="2:15" x14ac:dyDescent="0.2">
      <c r="B32" s="506">
        <v>5</v>
      </c>
      <c r="C32" s="704" t="str">
        <f>IF(ISBLANK('10. Load Forecast'!D33),"",'10. Load Forecast'!D33)</f>
        <v>Large Use</v>
      </c>
      <c r="D32" s="381"/>
      <c r="E32" s="612">
        <v>468592.24608216953</v>
      </c>
      <c r="F32" s="381"/>
      <c r="G32" s="566">
        <f t="shared" si="0"/>
        <v>2.8735977575396761E-2</v>
      </c>
      <c r="H32" s="381"/>
      <c r="I32" s="612">
        <v>699903.26842139033</v>
      </c>
      <c r="J32" s="381"/>
      <c r="K32" s="571">
        <f t="shared" si="1"/>
        <v>2.5948570865572024E-2</v>
      </c>
      <c r="L32" s="382"/>
    </row>
    <row r="33" spans="2:12" x14ac:dyDescent="0.2">
      <c r="B33" s="506">
        <v>6</v>
      </c>
      <c r="C33" s="704" t="str">
        <f>IF(ISBLANK('10. Load Forecast'!D34),"",'10. Load Forecast'!D34)</f>
        <v>Street Lighting</v>
      </c>
      <c r="D33" s="381"/>
      <c r="E33" s="612">
        <v>20652.554411891651</v>
      </c>
      <c r="F33" s="381"/>
      <c r="G33" s="566">
        <f t="shared" si="0"/>
        <v>1.2664984224914221E-3</v>
      </c>
      <c r="H33" s="381"/>
      <c r="I33" s="612">
        <v>315263.0828366513</v>
      </c>
      <c r="J33" s="381"/>
      <c r="K33" s="571">
        <f t="shared" si="1"/>
        <v>1.168822438097295E-2</v>
      </c>
      <c r="L33" s="382"/>
    </row>
    <row r="34" spans="2:12" x14ac:dyDescent="0.2">
      <c r="B34" s="506">
        <v>7</v>
      </c>
      <c r="C34" s="704" t="str">
        <f>IF(ISBLANK('10. Load Forecast'!D35),"",'10. Load Forecast'!D35)</f>
        <v>Sentinel Lighting</v>
      </c>
      <c r="D34" s="381"/>
      <c r="E34" s="612">
        <v>337476.24769024411</v>
      </c>
      <c r="F34" s="381"/>
      <c r="G34" s="566">
        <f t="shared" si="0"/>
        <v>2.0695412625661259E-2</v>
      </c>
      <c r="H34" s="381"/>
      <c r="I34" s="612">
        <v>56884.833321234291</v>
      </c>
      <c r="J34" s="381"/>
      <c r="K34" s="571">
        <f t="shared" si="1"/>
        <v>2.1089773333128631E-3</v>
      </c>
      <c r="L34" s="382"/>
    </row>
    <row r="35" spans="2:12" x14ac:dyDescent="0.2">
      <c r="B35" s="506">
        <v>8</v>
      </c>
      <c r="C35" s="704" t="str">
        <f>IF(ISBLANK('10. Load Forecast'!D36),"",'10. Load Forecast'!D36)</f>
        <v>Unmetered and Scattered</v>
      </c>
      <c r="D35" s="381"/>
      <c r="E35" s="612">
        <v>34995.985318000006</v>
      </c>
      <c r="F35" s="381"/>
      <c r="G35" s="566">
        <f t="shared" si="0"/>
        <v>2.1460957959398646E-3</v>
      </c>
      <c r="H35" s="381"/>
      <c r="I35" s="612">
        <v>57024.935860808953</v>
      </c>
      <c r="J35" s="381"/>
      <c r="K35" s="571">
        <f t="shared" si="1"/>
        <v>2.1141715663456641E-3</v>
      </c>
      <c r="L35" s="382"/>
    </row>
    <row r="36" spans="2:12" x14ac:dyDescent="0.2">
      <c r="B36" s="506">
        <v>9</v>
      </c>
      <c r="C36" s="704" t="str">
        <f>IF(ISBLANK('10. Load Forecast'!D37),"",'10. Load Forecast'!D37)</f>
        <v/>
      </c>
      <c r="D36" s="381"/>
      <c r="E36" s="612"/>
      <c r="F36" s="381"/>
      <c r="G36" s="566">
        <f t="shared" si="0"/>
        <v>0</v>
      </c>
      <c r="H36" s="381"/>
      <c r="I36" s="612"/>
      <c r="J36" s="381"/>
      <c r="K36" s="571">
        <f t="shared" si="1"/>
        <v>0</v>
      </c>
      <c r="L36" s="382"/>
    </row>
    <row r="37" spans="2:12" x14ac:dyDescent="0.2">
      <c r="B37" s="506">
        <v>10</v>
      </c>
      <c r="C37" s="704" t="str">
        <f>IF(ISBLANK('10. Load Forecast'!D38),"",'10. Load Forecast'!D38)</f>
        <v/>
      </c>
      <c r="D37" s="381"/>
      <c r="E37" s="612"/>
      <c r="F37" s="381"/>
      <c r="G37" s="566">
        <f t="shared" si="0"/>
        <v>0</v>
      </c>
      <c r="H37" s="381"/>
      <c r="I37" s="612"/>
      <c r="J37" s="381"/>
      <c r="K37" s="571">
        <f t="shared" si="1"/>
        <v>0</v>
      </c>
      <c r="L37" s="382"/>
    </row>
    <row r="38" spans="2:12" x14ac:dyDescent="0.2">
      <c r="B38" s="506">
        <v>11</v>
      </c>
      <c r="C38" s="704" t="str">
        <f>IF(ISBLANK('10. Load Forecast'!D39),"",'10. Load Forecast'!D39)</f>
        <v/>
      </c>
      <c r="D38" s="381"/>
      <c r="E38" s="612"/>
      <c r="F38" s="381"/>
      <c r="G38" s="566">
        <f t="shared" si="0"/>
        <v>0</v>
      </c>
      <c r="H38" s="381"/>
      <c r="I38" s="612"/>
      <c r="J38" s="381"/>
      <c r="K38" s="571">
        <f t="shared" si="1"/>
        <v>0</v>
      </c>
      <c r="L38" s="382"/>
    </row>
    <row r="39" spans="2:12" x14ac:dyDescent="0.2">
      <c r="B39" s="506">
        <v>12</v>
      </c>
      <c r="C39" s="704" t="str">
        <f>IF(ISBLANK('10. Load Forecast'!D40),"",'10. Load Forecast'!D40)</f>
        <v/>
      </c>
      <c r="D39" s="381"/>
      <c r="E39" s="612"/>
      <c r="F39" s="381"/>
      <c r="G39" s="566">
        <f t="shared" si="0"/>
        <v>0</v>
      </c>
      <c r="H39" s="381"/>
      <c r="I39" s="612"/>
      <c r="J39" s="381"/>
      <c r="K39" s="571">
        <f t="shared" si="1"/>
        <v>0</v>
      </c>
      <c r="L39" s="382"/>
    </row>
    <row r="40" spans="2:12" x14ac:dyDescent="0.2">
      <c r="B40" s="506">
        <v>13</v>
      </c>
      <c r="C40" s="704" t="str">
        <f>IF(ISBLANK('10. Load Forecast'!D41),"",'10. Load Forecast'!D41)</f>
        <v/>
      </c>
      <c r="D40" s="381"/>
      <c r="E40" s="612"/>
      <c r="F40" s="381"/>
      <c r="G40" s="566">
        <f t="shared" si="0"/>
        <v>0</v>
      </c>
      <c r="H40" s="381"/>
      <c r="I40" s="612"/>
      <c r="J40" s="381"/>
      <c r="K40" s="571">
        <f t="shared" si="1"/>
        <v>0</v>
      </c>
      <c r="L40" s="382"/>
    </row>
    <row r="41" spans="2:12" x14ac:dyDescent="0.2">
      <c r="B41" s="506">
        <v>14</v>
      </c>
      <c r="C41" s="704" t="str">
        <f>IF(ISBLANK('10. Load Forecast'!D42),"",'10. Load Forecast'!D42)</f>
        <v/>
      </c>
      <c r="D41" s="381"/>
      <c r="E41" s="612"/>
      <c r="F41" s="381"/>
      <c r="G41" s="566">
        <f t="shared" si="0"/>
        <v>0</v>
      </c>
      <c r="H41" s="381"/>
      <c r="I41" s="612"/>
      <c r="J41" s="381"/>
      <c r="K41" s="571">
        <f t="shared" si="1"/>
        <v>0</v>
      </c>
      <c r="L41" s="382"/>
    </row>
    <row r="42" spans="2:12" x14ac:dyDescent="0.2">
      <c r="B42" s="506">
        <v>15</v>
      </c>
      <c r="C42" s="704" t="str">
        <f>IF(ISBLANK('10. Load Forecast'!D43),"",'10. Load Forecast'!D43)</f>
        <v/>
      </c>
      <c r="D42" s="381"/>
      <c r="E42" s="612"/>
      <c r="F42" s="381"/>
      <c r="G42" s="566">
        <f t="shared" si="0"/>
        <v>0</v>
      </c>
      <c r="H42" s="381"/>
      <c r="I42" s="612"/>
      <c r="J42" s="381"/>
      <c r="K42" s="571">
        <f t="shared" si="1"/>
        <v>0</v>
      </c>
      <c r="L42" s="382"/>
    </row>
    <row r="43" spans="2:12" x14ac:dyDescent="0.2">
      <c r="B43" s="506">
        <v>16</v>
      </c>
      <c r="C43" s="704" t="str">
        <f>IF(ISBLANK('10. Load Forecast'!D44),"",'10. Load Forecast'!D44)</f>
        <v/>
      </c>
      <c r="D43" s="381"/>
      <c r="E43" s="612"/>
      <c r="F43" s="381"/>
      <c r="G43" s="566">
        <f t="shared" si="0"/>
        <v>0</v>
      </c>
      <c r="H43" s="381"/>
      <c r="I43" s="612"/>
      <c r="J43" s="381"/>
      <c r="K43" s="571">
        <f t="shared" si="1"/>
        <v>0</v>
      </c>
      <c r="L43" s="382"/>
    </row>
    <row r="44" spans="2:12" x14ac:dyDescent="0.2">
      <c r="B44" s="506">
        <v>17</v>
      </c>
      <c r="C44" s="704" t="str">
        <f>IF(ISBLANK('10. Load Forecast'!D45),"",'10. Load Forecast'!D45)</f>
        <v/>
      </c>
      <c r="D44" s="381"/>
      <c r="E44" s="612"/>
      <c r="F44" s="381"/>
      <c r="G44" s="566">
        <f t="shared" si="0"/>
        <v>0</v>
      </c>
      <c r="H44" s="381"/>
      <c r="I44" s="612"/>
      <c r="J44" s="381"/>
      <c r="K44" s="571">
        <f t="shared" si="1"/>
        <v>0</v>
      </c>
      <c r="L44" s="382"/>
    </row>
    <row r="45" spans="2:12" x14ac:dyDescent="0.2">
      <c r="B45" s="506">
        <v>18</v>
      </c>
      <c r="C45" s="704" t="str">
        <f>IF(ISBLANK('10. Load Forecast'!D46),"",'10. Load Forecast'!D46)</f>
        <v/>
      </c>
      <c r="D45" s="381"/>
      <c r="E45" s="612"/>
      <c r="F45" s="381"/>
      <c r="G45" s="566">
        <f t="shared" si="0"/>
        <v>0</v>
      </c>
      <c r="H45" s="381"/>
      <c r="I45" s="612"/>
      <c r="J45" s="381"/>
      <c r="K45" s="571">
        <f t="shared" si="1"/>
        <v>0</v>
      </c>
      <c r="L45" s="382"/>
    </row>
    <row r="46" spans="2:12" x14ac:dyDescent="0.2">
      <c r="B46" s="506">
        <v>19</v>
      </c>
      <c r="C46" s="704" t="str">
        <f>IF(ISBLANK('10. Load Forecast'!D47),"",'10. Load Forecast'!D47)</f>
        <v/>
      </c>
      <c r="D46" s="381"/>
      <c r="E46" s="612"/>
      <c r="F46" s="381"/>
      <c r="G46" s="566">
        <f t="shared" si="0"/>
        <v>0</v>
      </c>
      <c r="H46" s="381"/>
      <c r="I46" s="612"/>
      <c r="J46" s="381"/>
      <c r="K46" s="571">
        <f t="shared" si="1"/>
        <v>0</v>
      </c>
      <c r="L46" s="382"/>
    </row>
    <row r="47" spans="2:12" ht="13.5" thickBot="1" x14ac:dyDescent="0.25">
      <c r="B47" s="506">
        <v>20</v>
      </c>
      <c r="C47" s="704" t="str">
        <f>IF(ISBLANK('10. Load Forecast'!D48),"",'10. Load Forecast'!D48)</f>
        <v/>
      </c>
      <c r="D47" s="381"/>
      <c r="E47" s="613"/>
      <c r="F47" s="381"/>
      <c r="G47" s="567">
        <f t="shared" si="0"/>
        <v>0</v>
      </c>
      <c r="H47" s="381"/>
      <c r="I47" s="613"/>
      <c r="J47" s="381"/>
      <c r="K47" s="572">
        <f t="shared" si="1"/>
        <v>0</v>
      </c>
      <c r="L47" s="382"/>
    </row>
    <row r="48" spans="2:12" ht="7.5" customHeight="1" thickTop="1" x14ac:dyDescent="0.2">
      <c r="B48" s="506"/>
      <c r="C48" s="538"/>
      <c r="D48" s="381"/>
      <c r="E48" s="381"/>
      <c r="F48" s="381"/>
      <c r="G48" s="568"/>
      <c r="H48" s="381"/>
      <c r="I48" s="381"/>
      <c r="J48" s="381"/>
      <c r="K48" s="573"/>
      <c r="L48" s="382"/>
    </row>
    <row r="49" spans="2:15" ht="13.5" thickBot="1" x14ac:dyDescent="0.25">
      <c r="B49" s="506"/>
      <c r="C49" s="534" t="s">
        <v>19</v>
      </c>
      <c r="D49" s="495"/>
      <c r="E49" s="535">
        <f>SUM(E28:E47)</f>
        <v>16306814.161887778</v>
      </c>
      <c r="F49" s="495"/>
      <c r="G49" s="569">
        <f>SUM(G28:G47)</f>
        <v>1</v>
      </c>
      <c r="H49" s="495"/>
      <c r="I49" s="536">
        <f>SUM(I28:I47)</f>
        <v>26972709.674350742</v>
      </c>
      <c r="J49" s="495"/>
      <c r="K49" s="574">
        <f>SUM(K28:K47)</f>
        <v>0.99999999999999978</v>
      </c>
      <c r="L49" s="382"/>
    </row>
    <row r="50" spans="2:15" x14ac:dyDescent="0.2">
      <c r="B50" s="506"/>
      <c r="C50" s="530"/>
      <c r="D50" s="381"/>
      <c r="E50" s="381"/>
      <c r="F50" s="381"/>
      <c r="G50" s="381"/>
      <c r="H50" s="381"/>
      <c r="I50" s="531"/>
      <c r="J50" s="381"/>
      <c r="K50" s="504"/>
      <c r="L50" s="380"/>
    </row>
    <row r="51" spans="2:15" ht="39" thickBot="1" x14ac:dyDescent="0.25">
      <c r="B51" s="499"/>
      <c r="C51" s="532" t="str">
        <f>IF(I51=0,"",IF(ABS(I51-I49)&lt;(0.001*I51)," ","Allocated Revenue Requirement does not match Base Revenue Requirement from Sheet 9. Check data."))</f>
        <v xml:space="preserve"> </v>
      </c>
      <c r="D51" s="495"/>
      <c r="E51" s="495"/>
      <c r="F51" s="495"/>
      <c r="G51" s="718" t="s">
        <v>418</v>
      </c>
      <c r="H51" s="495"/>
      <c r="I51" s="533">
        <f>IF(ISBLANK(E20),"",IF(E20='13. Rate Design'!AC4,'9. Rev_Reqt'!F25,IF(E20='13. Rate Design'!AC6,'9. Rev_Reqt'!N25,'9. Rev_Reqt'!J25)))</f>
        <v>26972709.674350731</v>
      </c>
      <c r="J51" s="495"/>
      <c r="K51" s="495"/>
      <c r="L51" s="496"/>
    </row>
    <row r="53" spans="2:15" ht="25.5" customHeight="1" x14ac:dyDescent="0.2">
      <c r="B53" s="522" t="s">
        <v>2</v>
      </c>
      <c r="C53" s="870" t="s">
        <v>319</v>
      </c>
      <c r="D53" s="870"/>
      <c r="E53" s="870"/>
      <c r="F53" s="870"/>
      <c r="G53" s="870"/>
      <c r="H53" s="870"/>
      <c r="I53" s="870"/>
      <c r="J53" s="870"/>
      <c r="K53" s="870"/>
      <c r="L53" s="870"/>
      <c r="M53" s="870"/>
      <c r="N53" s="870"/>
      <c r="O53" s="870"/>
    </row>
    <row r="54" spans="2:15" ht="25.5" customHeight="1" x14ac:dyDescent="0.2">
      <c r="B54" s="522" t="s">
        <v>3</v>
      </c>
      <c r="C54" s="871" t="s">
        <v>323</v>
      </c>
      <c r="D54" s="871"/>
      <c r="E54" s="871"/>
      <c r="F54" s="871"/>
      <c r="G54" s="871"/>
      <c r="H54" s="871"/>
      <c r="I54" s="871"/>
      <c r="J54" s="871"/>
      <c r="K54" s="871"/>
      <c r="L54" s="871"/>
      <c r="M54" s="871"/>
      <c r="N54" s="871"/>
      <c r="O54" s="871"/>
    </row>
    <row r="55" spans="2:15" ht="26.25" customHeight="1" x14ac:dyDescent="0.2">
      <c r="B55" s="522" t="s">
        <v>98</v>
      </c>
      <c r="C55" s="870" t="s">
        <v>326</v>
      </c>
      <c r="D55" s="870"/>
      <c r="E55" s="870"/>
      <c r="F55" s="870"/>
      <c r="G55" s="870"/>
      <c r="H55" s="870"/>
      <c r="I55" s="870"/>
      <c r="J55" s="870"/>
      <c r="K55" s="870"/>
      <c r="L55" s="870"/>
      <c r="M55" s="870"/>
      <c r="N55" s="870"/>
      <c r="O55" s="870"/>
    </row>
    <row r="56" spans="2:15" s="381" customFormat="1" ht="12" customHeight="1" x14ac:dyDescent="0.2"/>
    <row r="57" spans="2:15" x14ac:dyDescent="0.2">
      <c r="B57" s="523" t="s">
        <v>321</v>
      </c>
      <c r="C57" s="523" t="s">
        <v>322</v>
      </c>
    </row>
    <row r="58" spans="2:15" ht="9" customHeight="1" thickBot="1" x14ac:dyDescent="0.25"/>
    <row r="59" spans="2:15" ht="38.25" x14ac:dyDescent="0.2">
      <c r="B59" s="524"/>
      <c r="C59" s="525" t="s">
        <v>308</v>
      </c>
      <c r="D59" s="504"/>
      <c r="E59" s="693" t="s">
        <v>328</v>
      </c>
      <c r="F59" s="504"/>
      <c r="G59" s="693" t="s">
        <v>337</v>
      </c>
      <c r="H59" s="504"/>
      <c r="I59" s="526" t="s">
        <v>331</v>
      </c>
      <c r="J59" s="504"/>
      <c r="K59" s="693" t="s">
        <v>333</v>
      </c>
      <c r="L59" s="502"/>
    </row>
    <row r="60" spans="2:15" x14ac:dyDescent="0.2">
      <c r="B60" s="506"/>
      <c r="C60" s="381"/>
      <c r="D60" s="381"/>
      <c r="E60" s="539" t="s">
        <v>329</v>
      </c>
      <c r="F60" s="381"/>
      <c r="G60" s="540" t="s">
        <v>330</v>
      </c>
      <c r="H60" s="381"/>
      <c r="I60" s="540" t="s">
        <v>332</v>
      </c>
      <c r="J60" s="381"/>
      <c r="K60" s="540" t="s">
        <v>334</v>
      </c>
      <c r="L60" s="380"/>
    </row>
    <row r="61" spans="2:15" ht="13.5" thickBot="1" x14ac:dyDescent="0.25">
      <c r="B61" s="506"/>
      <c r="C61" s="381"/>
      <c r="D61" s="381"/>
      <c r="E61" s="381"/>
      <c r="F61" s="381"/>
      <c r="G61" s="381"/>
      <c r="H61" s="381"/>
      <c r="I61" s="381"/>
      <c r="J61" s="381"/>
      <c r="K61" s="381"/>
      <c r="L61" s="380"/>
    </row>
    <row r="62" spans="2:15" x14ac:dyDescent="0.2">
      <c r="B62" s="506">
        <v>1</v>
      </c>
      <c r="C62" s="703" t="str">
        <f>IF(ISBLANK(C28),"",C28)</f>
        <v>Residential</v>
      </c>
      <c r="D62" s="504"/>
      <c r="E62" s="738">
        <v>14373803.879999992</v>
      </c>
      <c r="F62" s="504"/>
      <c r="G62" s="611">
        <v>17435905.636161584</v>
      </c>
      <c r="H62" s="504"/>
      <c r="I62" s="611">
        <v>17435905.636161584</v>
      </c>
      <c r="J62" s="504"/>
      <c r="K62" s="614">
        <v>1597792.962668255</v>
      </c>
      <c r="L62" s="380"/>
    </row>
    <row r="63" spans="2:15" x14ac:dyDescent="0.2">
      <c r="B63" s="506">
        <v>2</v>
      </c>
      <c r="C63" s="704" t="str">
        <f t="shared" ref="C63:C81" si="2">IF(ISBLANK(C29),"",C29)</f>
        <v>GS &lt; 50 kW</v>
      </c>
      <c r="D63" s="381"/>
      <c r="E63" s="612">
        <v>2365881.0152235376</v>
      </c>
      <c r="F63" s="381"/>
      <c r="G63" s="612">
        <v>2869892.9296803367</v>
      </c>
      <c r="H63" s="381"/>
      <c r="I63" s="612">
        <v>2869892.9296803367</v>
      </c>
      <c r="J63" s="381"/>
      <c r="K63" s="614">
        <v>230833.82900060489</v>
      </c>
      <c r="L63" s="380"/>
    </row>
    <row r="64" spans="2:15" x14ac:dyDescent="0.2">
      <c r="B64" s="506">
        <v>3</v>
      </c>
      <c r="C64" s="704" t="str">
        <f t="shared" si="2"/>
        <v>GS &gt;50 to 999 kW</v>
      </c>
      <c r="D64" s="381"/>
      <c r="E64" s="612">
        <v>2313136.0019423948</v>
      </c>
      <c r="F64" s="381"/>
      <c r="G64" s="612">
        <v>2805911.4615856092</v>
      </c>
      <c r="H64" s="381"/>
      <c r="I64" s="612">
        <v>2807874.6240710258</v>
      </c>
      <c r="J64" s="381"/>
      <c r="K64" s="614">
        <v>236923.16262966429</v>
      </c>
      <c r="L64" s="380"/>
    </row>
    <row r="65" spans="2:12" x14ac:dyDescent="0.2">
      <c r="B65" s="506">
        <v>4</v>
      </c>
      <c r="C65" s="704" t="str">
        <f t="shared" si="2"/>
        <v>GS &gt;1000 to 4999 kW</v>
      </c>
      <c r="D65" s="381"/>
      <c r="E65" s="612">
        <v>510521.05780939682</v>
      </c>
      <c r="F65" s="381"/>
      <c r="G65" s="612">
        <v>619279.14583721466</v>
      </c>
      <c r="H65" s="381"/>
      <c r="I65" s="612">
        <v>619279.14583721466</v>
      </c>
      <c r="J65" s="381"/>
      <c r="K65" s="614">
        <v>41740.811569436766</v>
      </c>
      <c r="L65" s="380"/>
    </row>
    <row r="66" spans="2:12" x14ac:dyDescent="0.2">
      <c r="B66" s="506">
        <v>5</v>
      </c>
      <c r="C66" s="704" t="str">
        <f t="shared" si="2"/>
        <v>Large Use</v>
      </c>
      <c r="D66" s="381"/>
      <c r="E66" s="612">
        <v>522349.99721623526</v>
      </c>
      <c r="F66" s="381"/>
      <c r="G66" s="612">
        <v>633628.04561318038</v>
      </c>
      <c r="H66" s="381"/>
      <c r="I66" s="612">
        <v>633628.04561318038</v>
      </c>
      <c r="J66" s="381"/>
      <c r="K66" s="614">
        <v>55341.496781940295</v>
      </c>
      <c r="L66" s="380"/>
    </row>
    <row r="67" spans="2:12" x14ac:dyDescent="0.2">
      <c r="B67" s="506">
        <v>6</v>
      </c>
      <c r="C67" s="704" t="str">
        <f t="shared" si="2"/>
        <v>Street Lighting</v>
      </c>
      <c r="D67" s="381"/>
      <c r="E67" s="612">
        <v>260279.00092866857</v>
      </c>
      <c r="F67" s="381"/>
      <c r="G67" s="612">
        <v>315727.14760504168</v>
      </c>
      <c r="H67" s="381"/>
      <c r="I67" s="612">
        <v>315727.14760504168</v>
      </c>
      <c r="J67" s="381"/>
      <c r="K67" s="614">
        <v>28421.542025278461</v>
      </c>
      <c r="L67" s="380"/>
    </row>
    <row r="68" spans="2:12" x14ac:dyDescent="0.2">
      <c r="B68" s="506">
        <v>7</v>
      </c>
      <c r="C68" s="704" t="str">
        <f t="shared" si="2"/>
        <v>Sentinel Lighting</v>
      </c>
      <c r="D68" s="381"/>
      <c r="E68" s="612">
        <v>31731.553669601504</v>
      </c>
      <c r="F68" s="381"/>
      <c r="G68" s="612">
        <v>38491.437624371494</v>
      </c>
      <c r="H68" s="381"/>
      <c r="I68" s="612">
        <v>36528.2751389572</v>
      </c>
      <c r="J68" s="381"/>
      <c r="K68" s="614">
        <v>5268.6581543283583</v>
      </c>
      <c r="L68" s="380"/>
    </row>
    <row r="69" spans="2:12" x14ac:dyDescent="0.2">
      <c r="B69" s="506">
        <v>8</v>
      </c>
      <c r="C69" s="704" t="str">
        <f t="shared" si="2"/>
        <v>Unmetered and Scattered</v>
      </c>
      <c r="D69" s="381"/>
      <c r="E69" s="612">
        <v>43288.460376868898</v>
      </c>
      <c r="F69" s="381"/>
      <c r="G69" s="612">
        <v>52510.35262252418</v>
      </c>
      <c r="H69" s="381"/>
      <c r="I69" s="612">
        <v>52510.35262252418</v>
      </c>
      <c r="J69" s="381"/>
      <c r="K69" s="614">
        <v>5041.0547913628843</v>
      </c>
      <c r="L69" s="380"/>
    </row>
    <row r="70" spans="2:12" x14ac:dyDescent="0.2">
      <c r="B70" s="506">
        <v>9</v>
      </c>
      <c r="C70" s="704" t="str">
        <f t="shared" si="2"/>
        <v/>
      </c>
      <c r="D70" s="381"/>
      <c r="E70" s="612"/>
      <c r="F70" s="381"/>
      <c r="G70" s="612"/>
      <c r="H70" s="381"/>
      <c r="I70" s="612"/>
      <c r="J70" s="381"/>
      <c r="K70" s="614"/>
      <c r="L70" s="380"/>
    </row>
    <row r="71" spans="2:12" x14ac:dyDescent="0.2">
      <c r="B71" s="506">
        <v>10</v>
      </c>
      <c r="C71" s="704" t="str">
        <f t="shared" si="2"/>
        <v/>
      </c>
      <c r="D71" s="381"/>
      <c r="E71" s="612"/>
      <c r="F71" s="381"/>
      <c r="G71" s="612"/>
      <c r="H71" s="381"/>
      <c r="I71" s="612"/>
      <c r="J71" s="381"/>
      <c r="K71" s="614"/>
      <c r="L71" s="380"/>
    </row>
    <row r="72" spans="2:12" x14ac:dyDescent="0.2">
      <c r="B72" s="506">
        <v>11</v>
      </c>
      <c r="C72" s="704" t="str">
        <f t="shared" si="2"/>
        <v/>
      </c>
      <c r="D72" s="381"/>
      <c r="E72" s="612"/>
      <c r="F72" s="381"/>
      <c r="G72" s="612"/>
      <c r="H72" s="381"/>
      <c r="I72" s="612"/>
      <c r="J72" s="381"/>
      <c r="K72" s="614"/>
      <c r="L72" s="380"/>
    </row>
    <row r="73" spans="2:12" x14ac:dyDescent="0.2">
      <c r="B73" s="506">
        <v>12</v>
      </c>
      <c r="C73" s="704" t="str">
        <f t="shared" si="2"/>
        <v/>
      </c>
      <c r="D73" s="381"/>
      <c r="E73" s="612"/>
      <c r="F73" s="381"/>
      <c r="G73" s="612"/>
      <c r="H73" s="381"/>
      <c r="I73" s="612"/>
      <c r="J73" s="381"/>
      <c r="K73" s="614"/>
      <c r="L73" s="380"/>
    </row>
    <row r="74" spans="2:12" x14ac:dyDescent="0.2">
      <c r="B74" s="506">
        <v>13</v>
      </c>
      <c r="C74" s="704" t="str">
        <f t="shared" si="2"/>
        <v/>
      </c>
      <c r="D74" s="381"/>
      <c r="E74" s="612"/>
      <c r="F74" s="381"/>
      <c r="G74" s="612"/>
      <c r="H74" s="381"/>
      <c r="I74" s="612"/>
      <c r="J74" s="381"/>
      <c r="K74" s="614"/>
      <c r="L74" s="380"/>
    </row>
    <row r="75" spans="2:12" x14ac:dyDescent="0.2">
      <c r="B75" s="506">
        <v>14</v>
      </c>
      <c r="C75" s="704" t="str">
        <f t="shared" si="2"/>
        <v/>
      </c>
      <c r="D75" s="381"/>
      <c r="E75" s="612"/>
      <c r="F75" s="381"/>
      <c r="G75" s="612"/>
      <c r="H75" s="381"/>
      <c r="I75" s="612"/>
      <c r="J75" s="381"/>
      <c r="K75" s="614"/>
      <c r="L75" s="380"/>
    </row>
    <row r="76" spans="2:12" x14ac:dyDescent="0.2">
      <c r="B76" s="506">
        <v>15</v>
      </c>
      <c r="C76" s="704" t="str">
        <f t="shared" si="2"/>
        <v/>
      </c>
      <c r="D76" s="381"/>
      <c r="E76" s="612"/>
      <c r="F76" s="381"/>
      <c r="G76" s="612"/>
      <c r="H76" s="381"/>
      <c r="I76" s="612"/>
      <c r="J76" s="381"/>
      <c r="K76" s="614"/>
      <c r="L76" s="380"/>
    </row>
    <row r="77" spans="2:12" x14ac:dyDescent="0.2">
      <c r="B77" s="506">
        <v>16</v>
      </c>
      <c r="C77" s="704" t="str">
        <f t="shared" si="2"/>
        <v/>
      </c>
      <c r="D77" s="381"/>
      <c r="E77" s="612"/>
      <c r="F77" s="381"/>
      <c r="G77" s="612"/>
      <c r="H77" s="381"/>
      <c r="I77" s="612"/>
      <c r="J77" s="381"/>
      <c r="K77" s="614"/>
      <c r="L77" s="380"/>
    </row>
    <row r="78" spans="2:12" x14ac:dyDescent="0.2">
      <c r="B78" s="506">
        <v>17</v>
      </c>
      <c r="C78" s="704" t="str">
        <f t="shared" si="2"/>
        <v/>
      </c>
      <c r="D78" s="381"/>
      <c r="E78" s="612"/>
      <c r="F78" s="381"/>
      <c r="G78" s="612"/>
      <c r="H78" s="381"/>
      <c r="I78" s="612"/>
      <c r="J78" s="381"/>
      <c r="K78" s="614"/>
      <c r="L78" s="380"/>
    </row>
    <row r="79" spans="2:12" x14ac:dyDescent="0.2">
      <c r="B79" s="506">
        <v>18</v>
      </c>
      <c r="C79" s="704" t="str">
        <f t="shared" si="2"/>
        <v/>
      </c>
      <c r="D79" s="381"/>
      <c r="E79" s="612"/>
      <c r="F79" s="381"/>
      <c r="G79" s="612"/>
      <c r="H79" s="381"/>
      <c r="I79" s="612"/>
      <c r="J79" s="381"/>
      <c r="K79" s="614"/>
      <c r="L79" s="380"/>
    </row>
    <row r="80" spans="2:12" x14ac:dyDescent="0.2">
      <c r="B80" s="506">
        <v>19</v>
      </c>
      <c r="C80" s="704" t="str">
        <f t="shared" si="2"/>
        <v/>
      </c>
      <c r="D80" s="381"/>
      <c r="E80" s="612"/>
      <c r="F80" s="381"/>
      <c r="G80" s="612"/>
      <c r="H80" s="381"/>
      <c r="I80" s="612"/>
      <c r="J80" s="381"/>
      <c r="K80" s="614"/>
      <c r="L80" s="380"/>
    </row>
    <row r="81" spans="2:15" ht="13.5" thickBot="1" x14ac:dyDescent="0.25">
      <c r="B81" s="506">
        <v>20</v>
      </c>
      <c r="C81" s="704" t="str">
        <f t="shared" si="2"/>
        <v/>
      </c>
      <c r="D81" s="381"/>
      <c r="E81" s="613"/>
      <c r="F81" s="381"/>
      <c r="G81" s="613"/>
      <c r="H81" s="381"/>
      <c r="I81" s="613"/>
      <c r="J81" s="381"/>
      <c r="K81" s="615"/>
      <c r="L81" s="380"/>
    </row>
    <row r="82" spans="2:15" ht="13.5" thickTop="1" x14ac:dyDescent="0.2">
      <c r="B82" s="506"/>
      <c r="C82" s="541"/>
      <c r="D82" s="381"/>
      <c r="E82" s="381"/>
      <c r="F82" s="381"/>
      <c r="G82" s="381"/>
      <c r="H82" s="381"/>
      <c r="I82" s="381"/>
      <c r="J82" s="381"/>
      <c r="K82" s="380"/>
      <c r="L82" s="380"/>
    </row>
    <row r="83" spans="2:15" ht="13.5" thickBot="1" x14ac:dyDescent="0.25">
      <c r="B83" s="506"/>
      <c r="C83" s="542" t="s">
        <v>19</v>
      </c>
      <c r="D83" s="495"/>
      <c r="E83" s="535">
        <f>SUM(E62:E81)</f>
        <v>20420990.967166699</v>
      </c>
      <c r="F83" s="495"/>
      <c r="G83" s="535">
        <f>SUM(G62:G81)</f>
        <v>24771346.156729866</v>
      </c>
      <c r="H83" s="495"/>
      <c r="I83" s="535">
        <f>SUM(I62:I81)</f>
        <v>24771346.156729862</v>
      </c>
      <c r="J83" s="495"/>
      <c r="K83" s="543">
        <f>SUM(K62:K81)</f>
        <v>2201363.5176208708</v>
      </c>
      <c r="L83" s="380"/>
    </row>
    <row r="84" spans="2:15" ht="13.5" thickBot="1" x14ac:dyDescent="0.25">
      <c r="B84" s="499"/>
      <c r="C84" s="495"/>
      <c r="D84" s="495"/>
      <c r="E84" s="495"/>
      <c r="F84" s="495"/>
      <c r="G84" s="495"/>
      <c r="H84" s="495"/>
      <c r="I84" s="495"/>
      <c r="J84" s="495"/>
      <c r="K84" s="495"/>
      <c r="L84" s="496"/>
    </row>
    <row r="86" spans="2:15" ht="28.5" customHeight="1" x14ac:dyDescent="0.2">
      <c r="B86" s="522" t="s">
        <v>122</v>
      </c>
      <c r="C86" s="870" t="s">
        <v>335</v>
      </c>
      <c r="D86" s="870"/>
      <c r="E86" s="870"/>
      <c r="F86" s="870"/>
      <c r="G86" s="870"/>
      <c r="H86" s="870"/>
      <c r="I86" s="870"/>
      <c r="J86" s="870"/>
      <c r="K86" s="870"/>
      <c r="L86" s="870"/>
      <c r="M86" s="870"/>
      <c r="N86" s="870"/>
      <c r="O86" s="870"/>
    </row>
    <row r="87" spans="2:15" x14ac:dyDescent="0.2">
      <c r="B87" s="520" t="s">
        <v>123</v>
      </c>
      <c r="C87" s="877" t="s">
        <v>336</v>
      </c>
      <c r="D87" s="877"/>
      <c r="E87" s="877"/>
      <c r="F87" s="877"/>
      <c r="G87" s="877"/>
      <c r="H87" s="877"/>
      <c r="I87" s="877"/>
      <c r="J87" s="877"/>
      <c r="K87" s="877"/>
      <c r="L87" s="877"/>
      <c r="M87" s="877"/>
      <c r="N87" s="877"/>
      <c r="O87" s="877"/>
    </row>
    <row r="88" spans="2:15" ht="13.5" customHeight="1" x14ac:dyDescent="0.2">
      <c r="B88" s="520" t="s">
        <v>147</v>
      </c>
      <c r="C88" s="870" t="s">
        <v>338</v>
      </c>
      <c r="D88" s="870"/>
      <c r="E88" s="870"/>
      <c r="F88" s="870"/>
      <c r="G88" s="870"/>
      <c r="H88" s="870"/>
      <c r="I88" s="870"/>
      <c r="J88" s="870"/>
      <c r="K88" s="870"/>
      <c r="L88" s="870"/>
      <c r="M88" s="870"/>
      <c r="N88" s="870"/>
      <c r="O88" s="870"/>
    </row>
    <row r="89" spans="2:15" x14ac:dyDescent="0.2">
      <c r="B89" s="520" t="s">
        <v>215</v>
      </c>
      <c r="C89" s="870" t="s">
        <v>339</v>
      </c>
      <c r="D89" s="870"/>
      <c r="E89" s="870"/>
      <c r="F89" s="870"/>
      <c r="G89" s="870"/>
      <c r="H89" s="870"/>
      <c r="I89" s="870"/>
      <c r="J89" s="870"/>
      <c r="K89" s="870"/>
      <c r="L89" s="870"/>
      <c r="M89" s="870"/>
      <c r="N89" s="870"/>
      <c r="O89" s="870"/>
    </row>
    <row r="90" spans="2:15" ht="9" customHeight="1" x14ac:dyDescent="0.2"/>
    <row r="91" spans="2:15" x14ac:dyDescent="0.2">
      <c r="B91" s="523" t="s">
        <v>340</v>
      </c>
      <c r="C91" s="523" t="s">
        <v>341</v>
      </c>
    </row>
    <row r="92" spans="2:15" ht="9" customHeight="1" thickBot="1" x14ac:dyDescent="0.25"/>
    <row r="93" spans="2:15" ht="25.5" x14ac:dyDescent="0.2">
      <c r="B93" s="524"/>
      <c r="C93" s="525" t="s">
        <v>308</v>
      </c>
      <c r="D93" s="504"/>
      <c r="E93" s="693" t="s">
        <v>342</v>
      </c>
      <c r="F93" s="504"/>
      <c r="G93" s="526" t="s">
        <v>344</v>
      </c>
      <c r="H93" s="504"/>
      <c r="I93" s="526" t="s">
        <v>346</v>
      </c>
      <c r="J93" s="504"/>
      <c r="K93" s="526" t="s">
        <v>348</v>
      </c>
      <c r="L93" s="502"/>
    </row>
    <row r="94" spans="2:15" x14ac:dyDescent="0.2">
      <c r="B94" s="506"/>
      <c r="C94" s="381"/>
      <c r="D94" s="381"/>
      <c r="E94" s="690" t="s">
        <v>343</v>
      </c>
      <c r="F94" s="381"/>
      <c r="G94" s="878" t="s">
        <v>345</v>
      </c>
      <c r="H94" s="381"/>
      <c r="I94" s="537" t="s">
        <v>347</v>
      </c>
      <c r="J94" s="381"/>
      <c r="K94" s="381"/>
      <c r="L94" s="380"/>
    </row>
    <row r="95" spans="2:15" x14ac:dyDescent="0.2">
      <c r="B95" s="506"/>
      <c r="C95" s="381"/>
      <c r="D95" s="381"/>
      <c r="E95" s="616"/>
      <c r="F95" s="381"/>
      <c r="G95" s="874"/>
      <c r="H95" s="381"/>
      <c r="I95" s="381"/>
      <c r="J95" s="381"/>
      <c r="K95" s="381"/>
      <c r="L95" s="380"/>
    </row>
    <row r="96" spans="2:15" x14ac:dyDescent="0.2">
      <c r="B96" s="506"/>
      <c r="C96" s="381"/>
      <c r="D96" s="381"/>
      <c r="E96" s="546" t="s">
        <v>315</v>
      </c>
      <c r="F96" s="381"/>
      <c r="G96" s="547" t="s">
        <v>315</v>
      </c>
      <c r="H96" s="381"/>
      <c r="I96" s="537" t="s">
        <v>315</v>
      </c>
      <c r="J96" s="381"/>
      <c r="K96" s="593" t="s">
        <v>315</v>
      </c>
      <c r="L96" s="380"/>
    </row>
    <row r="97" spans="2:15" ht="13.5" thickBot="1" x14ac:dyDescent="0.25">
      <c r="B97" s="506"/>
      <c r="C97" s="381"/>
      <c r="D97" s="381"/>
      <c r="E97" s="381"/>
      <c r="F97" s="381"/>
      <c r="G97" s="381"/>
      <c r="H97" s="381"/>
      <c r="I97" s="381"/>
      <c r="J97" s="381"/>
      <c r="K97" s="381"/>
      <c r="L97" s="380"/>
    </row>
    <row r="98" spans="2:15" x14ac:dyDescent="0.2">
      <c r="B98" s="506">
        <v>1</v>
      </c>
      <c r="C98" s="703" t="str">
        <f t="shared" ref="C98:C117" si="3">IF(ISBLANK(C62),"",C62)</f>
        <v>Residential</v>
      </c>
      <c r="D98" s="504"/>
      <c r="E98" s="619">
        <v>0.97829999999999995</v>
      </c>
      <c r="F98" s="504"/>
      <c r="G98" s="591">
        <f t="shared" ref="G98:G117" si="4">IF(ISBLANK(I28),"",(G62+K62)/I28)</f>
        <v>1.01739125269444</v>
      </c>
      <c r="H98" s="592"/>
      <c r="I98" s="591">
        <f t="shared" ref="I98:I117" si="5">IF(ISBLANK(I28),"",(I62+K62)/I28)</f>
        <v>1.01739125269444</v>
      </c>
      <c r="J98" s="504"/>
      <c r="K98" s="706" t="s">
        <v>349</v>
      </c>
      <c r="L98" s="380"/>
      <c r="M98" s="600">
        <f>IF(ISBLANK(K98),"",LEFT(K98,2)/100)</f>
        <v>0.85</v>
      </c>
      <c r="N98" s="600">
        <f>IF(ISBLANK(K98),"",RIGHT(K98,3)/100)</f>
        <v>1.1499999999999999</v>
      </c>
      <c r="O98" s="600" t="s">
        <v>349</v>
      </c>
    </row>
    <row r="99" spans="2:15" x14ac:dyDescent="0.2">
      <c r="B99" s="506">
        <v>2</v>
      </c>
      <c r="C99" s="704" t="str">
        <f t="shared" si="3"/>
        <v>GS &lt; 50 kW</v>
      </c>
      <c r="D99" s="381"/>
      <c r="E99" s="617">
        <v>1.0947</v>
      </c>
      <c r="F99" s="381"/>
      <c r="G99" s="588">
        <f t="shared" si="4"/>
        <v>0.98074392278931288</v>
      </c>
      <c r="H99" s="527"/>
      <c r="I99" s="588">
        <f t="shared" si="5"/>
        <v>0.98074392278931288</v>
      </c>
      <c r="J99" s="381"/>
      <c r="K99" s="707" t="s">
        <v>352</v>
      </c>
      <c r="L99" s="380"/>
      <c r="M99" s="600">
        <f t="shared" ref="M99:M118" si="6">IF(ISBLANK(K99),"",LEFT(K99,2)/100)</f>
        <v>0.8</v>
      </c>
      <c r="N99" s="600">
        <f t="shared" ref="N99:N118" si="7">IF(ISBLANK(K99),"",RIGHT(K99,3)/100)</f>
        <v>1.2</v>
      </c>
      <c r="O99" s="600" t="s">
        <v>352</v>
      </c>
    </row>
    <row r="100" spans="2:15" x14ac:dyDescent="0.2">
      <c r="B100" s="506">
        <v>3</v>
      </c>
      <c r="C100" s="704" t="str">
        <f t="shared" si="3"/>
        <v>GS &gt;50 to 999 kW</v>
      </c>
      <c r="D100" s="381"/>
      <c r="E100" s="617">
        <v>0.97829999999999995</v>
      </c>
      <c r="F100" s="381"/>
      <c r="G100" s="588">
        <f t="shared" si="4"/>
        <v>0.89022030443032096</v>
      </c>
      <c r="H100" s="527"/>
      <c r="I100" s="588">
        <f t="shared" si="5"/>
        <v>0.89079465279993186</v>
      </c>
      <c r="J100" s="381"/>
      <c r="K100" s="707" t="s">
        <v>352</v>
      </c>
      <c r="L100" s="380"/>
      <c r="M100" s="600">
        <f t="shared" si="6"/>
        <v>0.8</v>
      </c>
      <c r="N100" s="600">
        <f t="shared" si="7"/>
        <v>1.2</v>
      </c>
      <c r="O100" s="600"/>
    </row>
    <row r="101" spans="2:15" x14ac:dyDescent="0.2">
      <c r="B101" s="506">
        <v>4</v>
      </c>
      <c r="C101" s="704" t="str">
        <f t="shared" si="3"/>
        <v>GS &gt;1000 to 4999 kW</v>
      </c>
      <c r="D101" s="381"/>
      <c r="E101" s="617">
        <v>1.2</v>
      </c>
      <c r="F101" s="381"/>
      <c r="G101" s="594">
        <f t="shared" si="4"/>
        <v>1.1896973913055524</v>
      </c>
      <c r="H101" s="527"/>
      <c r="I101" s="588">
        <f t="shared" si="5"/>
        <v>1.1896973913055524</v>
      </c>
      <c r="J101" s="381"/>
      <c r="K101" s="707" t="s">
        <v>352</v>
      </c>
      <c r="L101" s="380"/>
      <c r="M101" s="600">
        <f t="shared" si="6"/>
        <v>0.8</v>
      </c>
      <c r="N101" s="600">
        <f t="shared" si="7"/>
        <v>1.2</v>
      </c>
      <c r="O101" s="600"/>
    </row>
    <row r="102" spans="2:15" x14ac:dyDescent="0.2">
      <c r="B102" s="506">
        <v>5</v>
      </c>
      <c r="C102" s="704" t="str">
        <f t="shared" si="3"/>
        <v>Large Use</v>
      </c>
      <c r="D102" s="381"/>
      <c r="E102" s="617">
        <v>1.1499999999999999</v>
      </c>
      <c r="F102" s="381"/>
      <c r="G102" s="588">
        <f t="shared" si="4"/>
        <v>0.98437823265073432</v>
      </c>
      <c r="H102" s="527"/>
      <c r="I102" s="588">
        <f t="shared" si="5"/>
        <v>0.98437823265073432</v>
      </c>
      <c r="J102" s="381"/>
      <c r="K102" s="707" t="s">
        <v>349</v>
      </c>
      <c r="L102" s="380"/>
      <c r="M102" s="600">
        <f t="shared" si="6"/>
        <v>0.85</v>
      </c>
      <c r="N102" s="600">
        <f t="shared" si="7"/>
        <v>1.1499999999999999</v>
      </c>
      <c r="O102" s="600"/>
    </row>
    <row r="103" spans="2:15" x14ac:dyDescent="0.2">
      <c r="B103" s="506">
        <v>6</v>
      </c>
      <c r="C103" s="704" t="str">
        <f t="shared" si="3"/>
        <v>Street Lighting</v>
      </c>
      <c r="D103" s="381"/>
      <c r="E103" s="617">
        <v>0.97829999999999995</v>
      </c>
      <c r="F103" s="381"/>
      <c r="G103" s="588">
        <f t="shared" si="4"/>
        <v>1.0916238163179908</v>
      </c>
      <c r="H103" s="527"/>
      <c r="I103" s="588">
        <f t="shared" si="5"/>
        <v>1.0916238163179908</v>
      </c>
      <c r="J103" s="381"/>
      <c r="K103" s="707" t="s">
        <v>352</v>
      </c>
      <c r="L103" s="380"/>
      <c r="M103" s="600">
        <f t="shared" si="6"/>
        <v>0.8</v>
      </c>
      <c r="N103" s="600">
        <f t="shared" si="7"/>
        <v>1.2</v>
      </c>
      <c r="O103" s="600"/>
    </row>
    <row r="104" spans="2:15" x14ac:dyDescent="0.2">
      <c r="B104" s="506">
        <v>7</v>
      </c>
      <c r="C104" s="704" t="str">
        <f t="shared" si="3"/>
        <v>Sentinel Lighting</v>
      </c>
      <c r="D104" s="381"/>
      <c r="E104" s="617">
        <v>0.6</v>
      </c>
      <c r="F104" s="381"/>
      <c r="G104" s="588">
        <f t="shared" si="4"/>
        <v>0.76927527468670354</v>
      </c>
      <c r="H104" s="527"/>
      <c r="I104" s="588">
        <f t="shared" si="5"/>
        <v>0.73476409884606919</v>
      </c>
      <c r="J104" s="381"/>
      <c r="K104" s="707" t="s">
        <v>352</v>
      </c>
      <c r="L104" s="380"/>
      <c r="M104" s="600">
        <f t="shared" si="6"/>
        <v>0.8</v>
      </c>
      <c r="N104" s="600">
        <f t="shared" si="7"/>
        <v>1.2</v>
      </c>
      <c r="O104" s="600"/>
    </row>
    <row r="105" spans="2:15" x14ac:dyDescent="0.2">
      <c r="B105" s="506">
        <v>8</v>
      </c>
      <c r="C105" s="704" t="str">
        <f t="shared" si="3"/>
        <v>Unmetered and Scattered</v>
      </c>
      <c r="D105" s="381"/>
      <c r="E105" s="617">
        <v>1.0442</v>
      </c>
      <c r="F105" s="381"/>
      <c r="G105" s="588">
        <f t="shared" si="4"/>
        <v>1.0092323041688844</v>
      </c>
      <c r="H105" s="527"/>
      <c r="I105" s="588">
        <f t="shared" si="5"/>
        <v>1.0092323041688844</v>
      </c>
      <c r="J105" s="381"/>
      <c r="K105" s="707" t="s">
        <v>352</v>
      </c>
      <c r="L105" s="380"/>
      <c r="M105" s="600">
        <f t="shared" si="6"/>
        <v>0.8</v>
      </c>
      <c r="N105" s="600">
        <f t="shared" si="7"/>
        <v>1.2</v>
      </c>
      <c r="O105" s="600"/>
    </row>
    <row r="106" spans="2:15" x14ac:dyDescent="0.2">
      <c r="B106" s="506">
        <v>9</v>
      </c>
      <c r="C106" s="704" t="str">
        <f t="shared" si="3"/>
        <v/>
      </c>
      <c r="D106" s="381"/>
      <c r="E106" s="617"/>
      <c r="F106" s="381"/>
      <c r="G106" s="588" t="str">
        <f t="shared" si="4"/>
        <v/>
      </c>
      <c r="H106" s="527"/>
      <c r="I106" s="588" t="str">
        <f t="shared" si="5"/>
        <v/>
      </c>
      <c r="J106" s="381"/>
      <c r="K106" s="707"/>
      <c r="L106" s="380"/>
      <c r="M106" s="600" t="str">
        <f t="shared" si="6"/>
        <v/>
      </c>
      <c r="N106" s="600" t="str">
        <f t="shared" si="7"/>
        <v/>
      </c>
      <c r="O106" s="600"/>
    </row>
    <row r="107" spans="2:15" x14ac:dyDescent="0.2">
      <c r="B107" s="506">
        <v>10</v>
      </c>
      <c r="C107" s="704" t="str">
        <f t="shared" si="3"/>
        <v/>
      </c>
      <c r="D107" s="381"/>
      <c r="E107" s="617"/>
      <c r="F107" s="381"/>
      <c r="G107" s="588" t="str">
        <f t="shared" si="4"/>
        <v/>
      </c>
      <c r="H107" s="527"/>
      <c r="I107" s="588" t="str">
        <f t="shared" si="5"/>
        <v/>
      </c>
      <c r="J107" s="381"/>
      <c r="K107" s="707"/>
      <c r="L107" s="380"/>
      <c r="M107" s="600" t="str">
        <f t="shared" si="6"/>
        <v/>
      </c>
      <c r="N107" s="600" t="str">
        <f t="shared" si="7"/>
        <v/>
      </c>
      <c r="O107" s="600"/>
    </row>
    <row r="108" spans="2:15" x14ac:dyDescent="0.2">
      <c r="B108" s="506">
        <v>11</v>
      </c>
      <c r="C108" s="704" t="str">
        <f t="shared" si="3"/>
        <v/>
      </c>
      <c r="D108" s="381"/>
      <c r="E108" s="617"/>
      <c r="F108" s="381"/>
      <c r="G108" s="588" t="str">
        <f t="shared" si="4"/>
        <v/>
      </c>
      <c r="H108" s="527"/>
      <c r="I108" s="588" t="str">
        <f t="shared" si="5"/>
        <v/>
      </c>
      <c r="J108" s="381"/>
      <c r="K108" s="707"/>
      <c r="L108" s="380"/>
      <c r="M108" s="600" t="str">
        <f t="shared" si="6"/>
        <v/>
      </c>
      <c r="N108" s="600" t="str">
        <f t="shared" si="7"/>
        <v/>
      </c>
      <c r="O108" s="600"/>
    </row>
    <row r="109" spans="2:15" x14ac:dyDescent="0.2">
      <c r="B109" s="506">
        <v>12</v>
      </c>
      <c r="C109" s="704" t="str">
        <f t="shared" si="3"/>
        <v/>
      </c>
      <c r="D109" s="381"/>
      <c r="E109" s="617"/>
      <c r="F109" s="381"/>
      <c r="G109" s="588" t="str">
        <f t="shared" si="4"/>
        <v/>
      </c>
      <c r="H109" s="527"/>
      <c r="I109" s="588" t="str">
        <f t="shared" si="5"/>
        <v/>
      </c>
      <c r="J109" s="381"/>
      <c r="K109" s="707"/>
      <c r="L109" s="380"/>
      <c r="M109" s="600" t="str">
        <f t="shared" si="6"/>
        <v/>
      </c>
      <c r="N109" s="600" t="str">
        <f t="shared" si="7"/>
        <v/>
      </c>
      <c r="O109" s="600"/>
    </row>
    <row r="110" spans="2:15" x14ac:dyDescent="0.2">
      <c r="B110" s="506">
        <v>13</v>
      </c>
      <c r="C110" s="704" t="str">
        <f t="shared" si="3"/>
        <v/>
      </c>
      <c r="D110" s="381"/>
      <c r="E110" s="617"/>
      <c r="F110" s="381"/>
      <c r="G110" s="588" t="str">
        <f t="shared" si="4"/>
        <v/>
      </c>
      <c r="H110" s="527"/>
      <c r="I110" s="588" t="str">
        <f t="shared" si="5"/>
        <v/>
      </c>
      <c r="J110" s="381"/>
      <c r="K110" s="707"/>
      <c r="L110" s="380"/>
      <c r="M110" s="600" t="str">
        <f t="shared" si="6"/>
        <v/>
      </c>
      <c r="N110" s="600" t="str">
        <f t="shared" si="7"/>
        <v/>
      </c>
      <c r="O110" s="600"/>
    </row>
    <row r="111" spans="2:15" x14ac:dyDescent="0.2">
      <c r="B111" s="506">
        <v>14</v>
      </c>
      <c r="C111" s="704" t="str">
        <f t="shared" si="3"/>
        <v/>
      </c>
      <c r="D111" s="381"/>
      <c r="E111" s="617"/>
      <c r="F111" s="381"/>
      <c r="G111" s="588" t="str">
        <f t="shared" si="4"/>
        <v/>
      </c>
      <c r="H111" s="527"/>
      <c r="I111" s="588" t="str">
        <f t="shared" si="5"/>
        <v/>
      </c>
      <c r="J111" s="381"/>
      <c r="K111" s="707"/>
      <c r="L111" s="380"/>
      <c r="M111" s="600" t="str">
        <f t="shared" si="6"/>
        <v/>
      </c>
      <c r="N111" s="600" t="str">
        <f t="shared" si="7"/>
        <v/>
      </c>
      <c r="O111" s="600"/>
    </row>
    <row r="112" spans="2:15" x14ac:dyDescent="0.2">
      <c r="B112" s="506">
        <v>15</v>
      </c>
      <c r="C112" s="704" t="str">
        <f t="shared" si="3"/>
        <v/>
      </c>
      <c r="D112" s="381"/>
      <c r="E112" s="617"/>
      <c r="F112" s="381"/>
      <c r="G112" s="588" t="str">
        <f t="shared" si="4"/>
        <v/>
      </c>
      <c r="H112" s="527"/>
      <c r="I112" s="588" t="str">
        <f t="shared" si="5"/>
        <v/>
      </c>
      <c r="J112" s="381"/>
      <c r="K112" s="707"/>
      <c r="L112" s="380"/>
      <c r="M112" s="600" t="str">
        <f t="shared" si="6"/>
        <v/>
      </c>
      <c r="N112" s="600" t="str">
        <f t="shared" si="7"/>
        <v/>
      </c>
      <c r="O112" s="600"/>
    </row>
    <row r="113" spans="2:15" x14ac:dyDescent="0.2">
      <c r="B113" s="506">
        <v>16</v>
      </c>
      <c r="C113" s="704" t="str">
        <f t="shared" si="3"/>
        <v/>
      </c>
      <c r="D113" s="381"/>
      <c r="E113" s="617"/>
      <c r="F113" s="381"/>
      <c r="G113" s="588" t="str">
        <f t="shared" si="4"/>
        <v/>
      </c>
      <c r="H113" s="527"/>
      <c r="I113" s="588" t="str">
        <f t="shared" si="5"/>
        <v/>
      </c>
      <c r="J113" s="381"/>
      <c r="K113" s="707"/>
      <c r="L113" s="380"/>
      <c r="M113" s="600" t="str">
        <f t="shared" si="6"/>
        <v/>
      </c>
      <c r="N113" s="600" t="str">
        <f t="shared" si="7"/>
        <v/>
      </c>
      <c r="O113" s="600"/>
    </row>
    <row r="114" spans="2:15" x14ac:dyDescent="0.2">
      <c r="B114" s="506">
        <v>17</v>
      </c>
      <c r="C114" s="704" t="str">
        <f t="shared" si="3"/>
        <v/>
      </c>
      <c r="D114" s="381"/>
      <c r="E114" s="617"/>
      <c r="F114" s="381"/>
      <c r="G114" s="588" t="str">
        <f t="shared" si="4"/>
        <v/>
      </c>
      <c r="H114" s="527"/>
      <c r="I114" s="588" t="str">
        <f t="shared" si="5"/>
        <v/>
      </c>
      <c r="J114" s="381"/>
      <c r="K114" s="707"/>
      <c r="L114" s="380"/>
      <c r="M114" s="600" t="str">
        <f t="shared" si="6"/>
        <v/>
      </c>
      <c r="N114" s="600" t="str">
        <f t="shared" si="7"/>
        <v/>
      </c>
      <c r="O114" s="600"/>
    </row>
    <row r="115" spans="2:15" x14ac:dyDescent="0.2">
      <c r="B115" s="506">
        <v>18</v>
      </c>
      <c r="C115" s="704" t="str">
        <f t="shared" si="3"/>
        <v/>
      </c>
      <c r="D115" s="381"/>
      <c r="E115" s="617"/>
      <c r="F115" s="381"/>
      <c r="G115" s="588" t="str">
        <f t="shared" si="4"/>
        <v/>
      </c>
      <c r="H115" s="527"/>
      <c r="I115" s="588" t="str">
        <f t="shared" si="5"/>
        <v/>
      </c>
      <c r="J115" s="381"/>
      <c r="K115" s="707"/>
      <c r="L115" s="380"/>
      <c r="M115" s="600" t="str">
        <f t="shared" si="6"/>
        <v/>
      </c>
      <c r="N115" s="600" t="str">
        <f t="shared" si="7"/>
        <v/>
      </c>
      <c r="O115" s="600"/>
    </row>
    <row r="116" spans="2:15" x14ac:dyDescent="0.2">
      <c r="B116" s="506">
        <v>19</v>
      </c>
      <c r="C116" s="704" t="str">
        <f t="shared" si="3"/>
        <v/>
      </c>
      <c r="D116" s="381"/>
      <c r="E116" s="617"/>
      <c r="F116" s="381"/>
      <c r="G116" s="588" t="str">
        <f t="shared" si="4"/>
        <v/>
      </c>
      <c r="H116" s="527"/>
      <c r="I116" s="588" t="str">
        <f t="shared" si="5"/>
        <v/>
      </c>
      <c r="J116" s="381"/>
      <c r="K116" s="707"/>
      <c r="L116" s="380"/>
      <c r="M116" s="600" t="str">
        <f t="shared" si="6"/>
        <v/>
      </c>
      <c r="N116" s="600" t="str">
        <f t="shared" si="7"/>
        <v/>
      </c>
      <c r="O116" s="600"/>
    </row>
    <row r="117" spans="2:15" ht="13.5" thickBot="1" x14ac:dyDescent="0.25">
      <c r="B117" s="506">
        <v>20</v>
      </c>
      <c r="C117" s="705" t="str">
        <f t="shared" si="3"/>
        <v/>
      </c>
      <c r="D117" s="495"/>
      <c r="E117" s="618"/>
      <c r="F117" s="495"/>
      <c r="G117" s="589" t="str">
        <f t="shared" si="4"/>
        <v/>
      </c>
      <c r="H117" s="590"/>
      <c r="I117" s="589" t="str">
        <f t="shared" si="5"/>
        <v/>
      </c>
      <c r="J117" s="495"/>
      <c r="K117" s="708"/>
      <c r="L117" s="380"/>
      <c r="M117" s="600" t="str">
        <f t="shared" si="6"/>
        <v/>
      </c>
      <c r="N117" s="600" t="str">
        <f t="shared" si="7"/>
        <v/>
      </c>
      <c r="O117" s="600"/>
    </row>
    <row r="118" spans="2:15" ht="13.5" thickBot="1" x14ac:dyDescent="0.25">
      <c r="B118" s="499"/>
      <c r="C118" s="495"/>
      <c r="D118" s="495"/>
      <c r="E118" s="495"/>
      <c r="F118" s="495"/>
      <c r="G118" s="495"/>
      <c r="H118" s="495"/>
      <c r="I118" s="495"/>
      <c r="J118" s="495"/>
      <c r="K118" s="495"/>
      <c r="L118" s="496"/>
      <c r="M118" s="600" t="str">
        <f t="shared" si="6"/>
        <v/>
      </c>
      <c r="N118" s="600" t="str">
        <f t="shared" si="7"/>
        <v/>
      </c>
      <c r="O118" s="600"/>
    </row>
    <row r="119" spans="2:15" ht="9" customHeight="1" x14ac:dyDescent="0.2"/>
    <row r="120" spans="2:15" ht="41.25" customHeight="1" x14ac:dyDescent="0.2">
      <c r="B120" s="522" t="s">
        <v>221</v>
      </c>
      <c r="C120" s="870" t="s">
        <v>350</v>
      </c>
      <c r="D120" s="870"/>
      <c r="E120" s="870"/>
      <c r="F120" s="870"/>
      <c r="G120" s="870"/>
      <c r="H120" s="870"/>
      <c r="I120" s="870"/>
      <c r="J120" s="870"/>
      <c r="K120" s="870"/>
      <c r="L120" s="870"/>
      <c r="M120" s="870"/>
      <c r="N120" s="870"/>
      <c r="O120" s="870"/>
    </row>
    <row r="121" spans="2:15" ht="12.75" customHeight="1" x14ac:dyDescent="0.2">
      <c r="B121" s="544" t="s">
        <v>222</v>
      </c>
      <c r="C121" s="870" t="s">
        <v>402</v>
      </c>
      <c r="D121" s="870"/>
      <c r="E121" s="870"/>
      <c r="F121" s="870"/>
      <c r="G121" s="870"/>
      <c r="H121" s="870"/>
      <c r="I121" s="870"/>
      <c r="J121" s="870"/>
      <c r="K121" s="870"/>
      <c r="L121" s="870"/>
      <c r="M121" s="870"/>
      <c r="N121" s="870"/>
      <c r="O121" s="870"/>
    </row>
    <row r="122" spans="2:15" x14ac:dyDescent="0.2">
      <c r="B122" s="520" t="s">
        <v>351</v>
      </c>
      <c r="C122" s="877" t="s">
        <v>410</v>
      </c>
      <c r="D122" s="877"/>
      <c r="E122" s="877"/>
      <c r="F122" s="877"/>
      <c r="G122" s="877"/>
      <c r="H122" s="877"/>
      <c r="I122" s="877"/>
      <c r="J122" s="877"/>
      <c r="K122" s="877"/>
      <c r="L122" s="877"/>
      <c r="M122" s="877"/>
      <c r="N122" s="877"/>
      <c r="O122" s="877"/>
    </row>
    <row r="123" spans="2:15" ht="9" customHeight="1" x14ac:dyDescent="0.2"/>
    <row r="124" spans="2:15" x14ac:dyDescent="0.2">
      <c r="B124" s="545" t="s">
        <v>353</v>
      </c>
      <c r="C124" s="879" t="s">
        <v>357</v>
      </c>
      <c r="D124" s="879"/>
      <c r="E124" s="879"/>
      <c r="F124" s="879"/>
      <c r="G124" s="879"/>
      <c r="H124" s="879"/>
      <c r="I124" s="879"/>
      <c r="J124" s="879"/>
      <c r="K124" s="879"/>
      <c r="L124" s="879"/>
      <c r="M124" s="879"/>
      <c r="N124" s="879"/>
      <c r="O124" s="879"/>
    </row>
    <row r="125" spans="2:15" ht="13.5" thickBot="1" x14ac:dyDescent="0.25"/>
    <row r="126" spans="2:15" x14ac:dyDescent="0.2">
      <c r="B126" s="524"/>
      <c r="C126" s="550" t="s">
        <v>308</v>
      </c>
      <c r="D126" s="504"/>
      <c r="E126" s="881" t="s">
        <v>354</v>
      </c>
      <c r="F126" s="881"/>
      <c r="G126" s="881"/>
      <c r="H126" s="881"/>
      <c r="I126" s="881"/>
      <c r="J126" s="504"/>
      <c r="K126" s="526" t="s">
        <v>348</v>
      </c>
      <c r="L126" s="502"/>
    </row>
    <row r="127" spans="2:15" x14ac:dyDescent="0.2">
      <c r="B127" s="506"/>
      <c r="C127" s="381"/>
      <c r="D127" s="381"/>
      <c r="E127" s="690" t="s">
        <v>355</v>
      </c>
      <c r="F127" s="381"/>
      <c r="G127" s="880" t="s">
        <v>356</v>
      </c>
      <c r="H127" s="880"/>
      <c r="I127" s="880"/>
      <c r="J127" s="381"/>
      <c r="K127" s="381"/>
      <c r="L127" s="380"/>
    </row>
    <row r="128" spans="2:15" x14ac:dyDescent="0.2">
      <c r="B128" s="506"/>
      <c r="C128" s="381"/>
      <c r="D128" s="381"/>
      <c r="E128" s="616"/>
      <c r="F128" s="381"/>
      <c r="G128" s="690">
        <f>E128+1</f>
        <v>1</v>
      </c>
      <c r="H128" s="381"/>
      <c r="I128" s="690">
        <f>G128+1</f>
        <v>2</v>
      </c>
      <c r="J128" s="381"/>
      <c r="K128" s="381"/>
      <c r="L128" s="380"/>
    </row>
    <row r="129" spans="2:14" ht="13.5" thickBot="1" x14ac:dyDescent="0.25">
      <c r="B129" s="506"/>
      <c r="C129" s="381"/>
      <c r="D129" s="381"/>
      <c r="E129" s="381"/>
      <c r="F129" s="381"/>
      <c r="G129" s="381"/>
      <c r="H129" s="381"/>
      <c r="I129" s="381"/>
      <c r="J129" s="381"/>
      <c r="K129" s="381"/>
      <c r="L129" s="380"/>
    </row>
    <row r="130" spans="2:14" x14ac:dyDescent="0.2">
      <c r="B130" s="506">
        <v>1</v>
      </c>
      <c r="C130" s="703" t="str">
        <f>IF(ISBLANK(C98),"",C98)</f>
        <v>Residential</v>
      </c>
      <c r="D130" s="504"/>
      <c r="E130" s="605">
        <f>I98</f>
        <v>1.01739125269444</v>
      </c>
      <c r="F130" s="504"/>
      <c r="G130" s="619">
        <v>1.01739125269444</v>
      </c>
      <c r="H130" s="504"/>
      <c r="I130" s="622">
        <f>IF(G130=0,"",G130)</f>
        <v>1.01739125269444</v>
      </c>
      <c r="J130" s="504"/>
      <c r="K130" s="551" t="str">
        <f>IF(ISBLANK(K98),"",K98)</f>
        <v>85 - 115</v>
      </c>
      <c r="L130" s="380"/>
      <c r="M130" s="607">
        <f>IF(K130="","",LEFT(K130,2)/100)</f>
        <v>0.85</v>
      </c>
      <c r="N130" s="607">
        <f>IF(K130="","",RIGHT(K130,3)/100)</f>
        <v>1.1499999999999999</v>
      </c>
    </row>
    <row r="131" spans="2:14" x14ac:dyDescent="0.2">
      <c r="B131" s="506">
        <v>2</v>
      </c>
      <c r="C131" s="704" t="str">
        <f t="shared" ref="C131:C149" si="8">IF(ISBLANK(C99),"",C99)</f>
        <v>GS &lt; 50 kW</v>
      </c>
      <c r="D131" s="381"/>
      <c r="E131" s="606">
        <f t="shared" ref="E131:E149" si="9">I99</f>
        <v>0.98074392278931288</v>
      </c>
      <c r="F131" s="381"/>
      <c r="G131" s="620">
        <v>0.98074392278931288</v>
      </c>
      <c r="H131" s="381"/>
      <c r="I131" s="623">
        <f t="shared" ref="I131:I149" si="10">IF(G131=0,"",G131)</f>
        <v>0.98074392278931288</v>
      </c>
      <c r="J131" s="381"/>
      <c r="K131" s="529" t="str">
        <f t="shared" ref="K131:K149" si="11">IF(ISBLANK(K99),"",K99)</f>
        <v>80 - 120</v>
      </c>
      <c r="L131" s="380"/>
      <c r="M131" s="607">
        <f t="shared" ref="M131:M149" si="12">IF(K131="","",LEFT(K131,2)/100)</f>
        <v>0.8</v>
      </c>
      <c r="N131" s="607">
        <f t="shared" ref="N131:N149" si="13">IF(K131="","",RIGHT(K131,3)/100)</f>
        <v>1.2</v>
      </c>
    </row>
    <row r="132" spans="2:14" x14ac:dyDescent="0.2">
      <c r="B132" s="506">
        <v>3</v>
      </c>
      <c r="C132" s="704" t="str">
        <f t="shared" si="8"/>
        <v>GS &gt;50 to 999 kW</v>
      </c>
      <c r="D132" s="381"/>
      <c r="E132" s="606">
        <f t="shared" si="9"/>
        <v>0.89079465279993186</v>
      </c>
      <c r="F132" s="381"/>
      <c r="G132" s="620">
        <v>0.89079465279993186</v>
      </c>
      <c r="H132" s="381"/>
      <c r="I132" s="623">
        <f t="shared" si="10"/>
        <v>0.89079465279993186</v>
      </c>
      <c r="J132" s="381"/>
      <c r="K132" s="529" t="str">
        <f t="shared" si="11"/>
        <v>80 - 120</v>
      </c>
      <c r="L132" s="380"/>
      <c r="M132" s="607">
        <f t="shared" si="12"/>
        <v>0.8</v>
      </c>
      <c r="N132" s="607">
        <f t="shared" si="13"/>
        <v>1.2</v>
      </c>
    </row>
    <row r="133" spans="2:14" x14ac:dyDescent="0.2">
      <c r="B133" s="506">
        <v>4</v>
      </c>
      <c r="C133" s="704" t="str">
        <f t="shared" si="8"/>
        <v>GS &gt;1000 to 4999 kW</v>
      </c>
      <c r="D133" s="381"/>
      <c r="E133" s="606">
        <f t="shared" si="9"/>
        <v>1.1896973913055524</v>
      </c>
      <c r="F133" s="381"/>
      <c r="G133" s="620">
        <v>1.183018488962837</v>
      </c>
      <c r="H133" s="381"/>
      <c r="I133" s="623">
        <f t="shared" si="10"/>
        <v>1.183018488962837</v>
      </c>
      <c r="J133" s="381"/>
      <c r="K133" s="529" t="str">
        <f t="shared" si="11"/>
        <v>80 - 120</v>
      </c>
      <c r="L133" s="380"/>
      <c r="M133" s="607">
        <f t="shared" si="12"/>
        <v>0.8</v>
      </c>
      <c r="N133" s="607">
        <f t="shared" si="13"/>
        <v>1.2</v>
      </c>
    </row>
    <row r="134" spans="2:14" x14ac:dyDescent="0.2">
      <c r="B134" s="506">
        <v>5</v>
      </c>
      <c r="C134" s="704" t="str">
        <f t="shared" si="8"/>
        <v>Large Use</v>
      </c>
      <c r="D134" s="381"/>
      <c r="E134" s="606">
        <f t="shared" si="9"/>
        <v>0.98437823265073432</v>
      </c>
      <c r="F134" s="381"/>
      <c r="G134" s="620">
        <v>0.98437823265073432</v>
      </c>
      <c r="H134" s="381"/>
      <c r="I134" s="623">
        <f t="shared" si="10"/>
        <v>0.98437823265073432</v>
      </c>
      <c r="J134" s="381"/>
      <c r="K134" s="529" t="str">
        <f t="shared" si="11"/>
        <v>85 - 115</v>
      </c>
      <c r="L134" s="380"/>
      <c r="M134" s="607">
        <f t="shared" si="12"/>
        <v>0.85</v>
      </c>
      <c r="N134" s="607">
        <f t="shared" si="13"/>
        <v>1.1499999999999999</v>
      </c>
    </row>
    <row r="135" spans="2:14" x14ac:dyDescent="0.2">
      <c r="B135" s="506">
        <v>6</v>
      </c>
      <c r="C135" s="704" t="str">
        <f t="shared" si="8"/>
        <v>Street Lighting</v>
      </c>
      <c r="D135" s="381"/>
      <c r="E135" s="606">
        <f t="shared" si="9"/>
        <v>1.0916238163179908</v>
      </c>
      <c r="F135" s="381"/>
      <c r="G135" s="620">
        <v>1.0916238163179908</v>
      </c>
      <c r="H135" s="381"/>
      <c r="I135" s="623">
        <f t="shared" si="10"/>
        <v>1.0916238163179908</v>
      </c>
      <c r="J135" s="381"/>
      <c r="K135" s="529" t="str">
        <f t="shared" si="11"/>
        <v>80 - 120</v>
      </c>
      <c r="L135" s="380"/>
      <c r="M135" s="607">
        <f t="shared" si="12"/>
        <v>0.8</v>
      </c>
      <c r="N135" s="607">
        <f t="shared" si="13"/>
        <v>1.2</v>
      </c>
    </row>
    <row r="136" spans="2:14" x14ac:dyDescent="0.2">
      <c r="B136" s="506">
        <v>7</v>
      </c>
      <c r="C136" s="704" t="str">
        <f t="shared" si="8"/>
        <v>Sentinel Lighting</v>
      </c>
      <c r="D136" s="381"/>
      <c r="E136" s="606">
        <f t="shared" si="9"/>
        <v>0.73476409884606919</v>
      </c>
      <c r="F136" s="381"/>
      <c r="G136" s="620">
        <v>0.8</v>
      </c>
      <c r="H136" s="381"/>
      <c r="I136" s="623">
        <f t="shared" si="10"/>
        <v>0.8</v>
      </c>
      <c r="J136" s="381"/>
      <c r="K136" s="529" t="str">
        <f t="shared" si="11"/>
        <v>80 - 120</v>
      </c>
      <c r="L136" s="380"/>
      <c r="M136" s="607">
        <f t="shared" si="12"/>
        <v>0.8</v>
      </c>
      <c r="N136" s="607">
        <f t="shared" si="13"/>
        <v>1.2</v>
      </c>
    </row>
    <row r="137" spans="2:14" x14ac:dyDescent="0.2">
      <c r="B137" s="506">
        <v>8</v>
      </c>
      <c r="C137" s="704" t="str">
        <f t="shared" si="8"/>
        <v>Unmetered and Scattered</v>
      </c>
      <c r="D137" s="381"/>
      <c r="E137" s="716">
        <f t="shared" si="9"/>
        <v>1.0092323041688844</v>
      </c>
      <c r="F137" s="381"/>
      <c r="G137" s="620">
        <v>1.0092323041688844</v>
      </c>
      <c r="H137" s="381"/>
      <c r="I137" s="623">
        <f t="shared" si="10"/>
        <v>1.0092323041688844</v>
      </c>
      <c r="J137" s="381"/>
      <c r="K137" s="529" t="str">
        <f t="shared" si="11"/>
        <v>80 - 120</v>
      </c>
      <c r="L137" s="380"/>
      <c r="M137" s="607">
        <f t="shared" si="12"/>
        <v>0.8</v>
      </c>
      <c r="N137" s="607">
        <f t="shared" si="13"/>
        <v>1.2</v>
      </c>
    </row>
    <row r="138" spans="2:14" x14ac:dyDescent="0.2">
      <c r="B138" s="506">
        <v>9</v>
      </c>
      <c r="C138" s="704" t="str">
        <f t="shared" si="8"/>
        <v/>
      </c>
      <c r="D138" s="381"/>
      <c r="E138" s="716" t="str">
        <f t="shared" si="9"/>
        <v/>
      </c>
      <c r="F138" s="381"/>
      <c r="G138" s="620" t="str">
        <f t="shared" ref="G138:G149" si="14">IF(E138=0,"",E138)</f>
        <v/>
      </c>
      <c r="H138" s="381"/>
      <c r="I138" s="623" t="str">
        <f t="shared" si="10"/>
        <v/>
      </c>
      <c r="J138" s="381"/>
      <c r="K138" s="529" t="str">
        <f t="shared" si="11"/>
        <v/>
      </c>
      <c r="L138" s="380"/>
      <c r="M138" s="607" t="str">
        <f t="shared" si="12"/>
        <v/>
      </c>
      <c r="N138" s="607" t="str">
        <f t="shared" si="13"/>
        <v/>
      </c>
    </row>
    <row r="139" spans="2:14" x14ac:dyDescent="0.2">
      <c r="B139" s="506">
        <v>10</v>
      </c>
      <c r="C139" s="704" t="str">
        <f t="shared" si="8"/>
        <v/>
      </c>
      <c r="D139" s="381"/>
      <c r="E139" s="716" t="str">
        <f t="shared" si="9"/>
        <v/>
      </c>
      <c r="F139" s="381"/>
      <c r="G139" s="620" t="str">
        <f t="shared" si="14"/>
        <v/>
      </c>
      <c r="H139" s="381"/>
      <c r="I139" s="623" t="str">
        <f t="shared" si="10"/>
        <v/>
      </c>
      <c r="J139" s="381"/>
      <c r="K139" s="529" t="str">
        <f t="shared" si="11"/>
        <v/>
      </c>
      <c r="L139" s="380"/>
      <c r="M139" s="607" t="str">
        <f t="shared" si="12"/>
        <v/>
      </c>
      <c r="N139" s="607" t="str">
        <f t="shared" si="13"/>
        <v/>
      </c>
    </row>
    <row r="140" spans="2:14" x14ac:dyDescent="0.2">
      <c r="B140" s="506">
        <v>11</v>
      </c>
      <c r="C140" s="704" t="str">
        <f t="shared" si="8"/>
        <v/>
      </c>
      <c r="D140" s="381"/>
      <c r="E140" s="716" t="str">
        <f t="shared" si="9"/>
        <v/>
      </c>
      <c r="F140" s="381"/>
      <c r="G140" s="620" t="str">
        <f t="shared" si="14"/>
        <v/>
      </c>
      <c r="H140" s="381"/>
      <c r="I140" s="623" t="str">
        <f t="shared" si="10"/>
        <v/>
      </c>
      <c r="J140" s="381"/>
      <c r="K140" s="529" t="str">
        <f t="shared" si="11"/>
        <v/>
      </c>
      <c r="L140" s="380"/>
      <c r="M140" s="607" t="str">
        <f t="shared" si="12"/>
        <v/>
      </c>
      <c r="N140" s="607" t="str">
        <f t="shared" si="13"/>
        <v/>
      </c>
    </row>
    <row r="141" spans="2:14" x14ac:dyDescent="0.2">
      <c r="B141" s="506">
        <v>12</v>
      </c>
      <c r="C141" s="704" t="str">
        <f t="shared" si="8"/>
        <v/>
      </c>
      <c r="D141" s="381"/>
      <c r="E141" s="716" t="str">
        <f t="shared" si="9"/>
        <v/>
      </c>
      <c r="F141" s="381"/>
      <c r="G141" s="620" t="str">
        <f t="shared" si="14"/>
        <v/>
      </c>
      <c r="H141" s="381"/>
      <c r="I141" s="623" t="str">
        <f t="shared" si="10"/>
        <v/>
      </c>
      <c r="J141" s="381"/>
      <c r="K141" s="529" t="str">
        <f t="shared" si="11"/>
        <v/>
      </c>
      <c r="L141" s="380"/>
      <c r="M141" s="607" t="str">
        <f t="shared" si="12"/>
        <v/>
      </c>
      <c r="N141" s="607" t="str">
        <f t="shared" si="13"/>
        <v/>
      </c>
    </row>
    <row r="142" spans="2:14" x14ac:dyDescent="0.2">
      <c r="B142" s="506">
        <v>13</v>
      </c>
      <c r="C142" s="704" t="str">
        <f t="shared" si="8"/>
        <v/>
      </c>
      <c r="D142" s="381"/>
      <c r="E142" s="716" t="str">
        <f t="shared" si="9"/>
        <v/>
      </c>
      <c r="F142" s="381"/>
      <c r="G142" s="620" t="str">
        <f t="shared" si="14"/>
        <v/>
      </c>
      <c r="H142" s="381"/>
      <c r="I142" s="623" t="str">
        <f t="shared" si="10"/>
        <v/>
      </c>
      <c r="J142" s="381"/>
      <c r="K142" s="529" t="str">
        <f t="shared" si="11"/>
        <v/>
      </c>
      <c r="L142" s="380"/>
      <c r="M142" s="607" t="str">
        <f t="shared" si="12"/>
        <v/>
      </c>
      <c r="N142" s="607" t="str">
        <f t="shared" si="13"/>
        <v/>
      </c>
    </row>
    <row r="143" spans="2:14" x14ac:dyDescent="0.2">
      <c r="B143" s="506">
        <v>14</v>
      </c>
      <c r="C143" s="704" t="str">
        <f t="shared" si="8"/>
        <v/>
      </c>
      <c r="D143" s="381"/>
      <c r="E143" s="716" t="str">
        <f t="shared" si="9"/>
        <v/>
      </c>
      <c r="F143" s="381"/>
      <c r="G143" s="620" t="str">
        <f t="shared" si="14"/>
        <v/>
      </c>
      <c r="H143" s="381"/>
      <c r="I143" s="623" t="str">
        <f t="shared" si="10"/>
        <v/>
      </c>
      <c r="J143" s="381"/>
      <c r="K143" s="529" t="str">
        <f t="shared" si="11"/>
        <v/>
      </c>
      <c r="L143" s="380"/>
      <c r="M143" s="607" t="str">
        <f t="shared" si="12"/>
        <v/>
      </c>
      <c r="N143" s="607" t="str">
        <f t="shared" si="13"/>
        <v/>
      </c>
    </row>
    <row r="144" spans="2:14" x14ac:dyDescent="0.2">
      <c r="B144" s="506">
        <v>15</v>
      </c>
      <c r="C144" s="704" t="str">
        <f t="shared" si="8"/>
        <v/>
      </c>
      <c r="D144" s="381"/>
      <c r="E144" s="716" t="str">
        <f t="shared" si="9"/>
        <v/>
      </c>
      <c r="F144" s="381"/>
      <c r="G144" s="620" t="str">
        <f t="shared" si="14"/>
        <v/>
      </c>
      <c r="H144" s="381"/>
      <c r="I144" s="623" t="str">
        <f t="shared" si="10"/>
        <v/>
      </c>
      <c r="J144" s="381"/>
      <c r="K144" s="529" t="str">
        <f t="shared" si="11"/>
        <v/>
      </c>
      <c r="L144" s="380"/>
      <c r="M144" s="607" t="str">
        <f t="shared" si="12"/>
        <v/>
      </c>
      <c r="N144" s="607" t="str">
        <f t="shared" si="13"/>
        <v/>
      </c>
    </row>
    <row r="145" spans="2:15" x14ac:dyDescent="0.2">
      <c r="B145" s="506">
        <v>16</v>
      </c>
      <c r="C145" s="704" t="str">
        <f t="shared" si="8"/>
        <v/>
      </c>
      <c r="D145" s="381"/>
      <c r="E145" s="716" t="str">
        <f t="shared" si="9"/>
        <v/>
      </c>
      <c r="F145" s="381"/>
      <c r="G145" s="620" t="str">
        <f t="shared" si="14"/>
        <v/>
      </c>
      <c r="H145" s="381"/>
      <c r="I145" s="623" t="str">
        <f t="shared" si="10"/>
        <v/>
      </c>
      <c r="J145" s="381"/>
      <c r="K145" s="529" t="str">
        <f t="shared" si="11"/>
        <v/>
      </c>
      <c r="L145" s="380"/>
      <c r="M145" s="607" t="str">
        <f t="shared" si="12"/>
        <v/>
      </c>
      <c r="N145" s="607" t="str">
        <f t="shared" si="13"/>
        <v/>
      </c>
    </row>
    <row r="146" spans="2:15" x14ac:dyDescent="0.2">
      <c r="B146" s="506">
        <v>17</v>
      </c>
      <c r="C146" s="704" t="str">
        <f t="shared" si="8"/>
        <v/>
      </c>
      <c r="D146" s="381"/>
      <c r="E146" s="716" t="str">
        <f t="shared" si="9"/>
        <v/>
      </c>
      <c r="F146" s="381"/>
      <c r="G146" s="620" t="str">
        <f t="shared" si="14"/>
        <v/>
      </c>
      <c r="H146" s="381"/>
      <c r="I146" s="623" t="str">
        <f t="shared" si="10"/>
        <v/>
      </c>
      <c r="J146" s="381"/>
      <c r="K146" s="529" t="str">
        <f t="shared" si="11"/>
        <v/>
      </c>
      <c r="L146" s="380"/>
      <c r="M146" s="607" t="str">
        <f t="shared" si="12"/>
        <v/>
      </c>
      <c r="N146" s="607" t="str">
        <f t="shared" si="13"/>
        <v/>
      </c>
    </row>
    <row r="147" spans="2:15" x14ac:dyDescent="0.2">
      <c r="B147" s="506">
        <v>18</v>
      </c>
      <c r="C147" s="704" t="str">
        <f t="shared" si="8"/>
        <v/>
      </c>
      <c r="D147" s="381"/>
      <c r="E147" s="716" t="str">
        <f t="shared" si="9"/>
        <v/>
      </c>
      <c r="F147" s="381"/>
      <c r="G147" s="620" t="str">
        <f t="shared" si="14"/>
        <v/>
      </c>
      <c r="H147" s="381"/>
      <c r="I147" s="623" t="str">
        <f t="shared" si="10"/>
        <v/>
      </c>
      <c r="J147" s="381"/>
      <c r="K147" s="529" t="str">
        <f t="shared" si="11"/>
        <v/>
      </c>
      <c r="L147" s="380"/>
      <c r="M147" s="607" t="str">
        <f t="shared" si="12"/>
        <v/>
      </c>
      <c r="N147" s="607" t="str">
        <f t="shared" si="13"/>
        <v/>
      </c>
    </row>
    <row r="148" spans="2:15" x14ac:dyDescent="0.2">
      <c r="B148" s="506">
        <v>19</v>
      </c>
      <c r="C148" s="704" t="str">
        <f t="shared" si="8"/>
        <v/>
      </c>
      <c r="D148" s="381"/>
      <c r="E148" s="716" t="str">
        <f t="shared" si="9"/>
        <v/>
      </c>
      <c r="F148" s="381"/>
      <c r="G148" s="620" t="str">
        <f t="shared" si="14"/>
        <v/>
      </c>
      <c r="H148" s="381"/>
      <c r="I148" s="623" t="str">
        <f t="shared" si="10"/>
        <v/>
      </c>
      <c r="J148" s="381"/>
      <c r="K148" s="529" t="str">
        <f t="shared" si="11"/>
        <v/>
      </c>
      <c r="L148" s="380"/>
      <c r="M148" s="607" t="str">
        <f t="shared" si="12"/>
        <v/>
      </c>
      <c r="N148" s="607" t="str">
        <f t="shared" si="13"/>
        <v/>
      </c>
    </row>
    <row r="149" spans="2:15" ht="13.5" thickBot="1" x14ac:dyDescent="0.25">
      <c r="B149" s="382">
        <v>20</v>
      </c>
      <c r="C149" s="705" t="str">
        <f t="shared" si="8"/>
        <v/>
      </c>
      <c r="D149" s="495"/>
      <c r="E149" s="717" t="str">
        <f t="shared" si="9"/>
        <v/>
      </c>
      <c r="F149" s="495"/>
      <c r="G149" s="621" t="str">
        <f t="shared" si="14"/>
        <v/>
      </c>
      <c r="H149" s="495"/>
      <c r="I149" s="624" t="str">
        <f t="shared" si="10"/>
        <v/>
      </c>
      <c r="J149" s="495"/>
      <c r="K149" s="552" t="str">
        <f t="shared" si="11"/>
        <v/>
      </c>
      <c r="L149" s="382"/>
      <c r="M149" s="607" t="str">
        <f t="shared" si="12"/>
        <v/>
      </c>
      <c r="N149" s="607" t="str">
        <f t="shared" si="13"/>
        <v/>
      </c>
    </row>
    <row r="150" spans="2:15" ht="13.5" thickBot="1" x14ac:dyDescent="0.25">
      <c r="B150" s="499"/>
      <c r="C150" s="495"/>
      <c r="D150" s="495"/>
      <c r="E150" s="495"/>
      <c r="F150" s="495"/>
      <c r="G150" s="495"/>
      <c r="H150" s="495"/>
      <c r="I150" s="495"/>
      <c r="J150" s="495"/>
      <c r="K150" s="495"/>
      <c r="L150" s="496"/>
      <c r="M150" s="595"/>
      <c r="N150" s="595"/>
    </row>
    <row r="151" spans="2:15" x14ac:dyDescent="0.2">
      <c r="B151" s="381"/>
      <c r="C151" s="381"/>
      <c r="D151" s="381"/>
      <c r="E151" s="381"/>
      <c r="F151" s="381"/>
      <c r="G151" s="381"/>
      <c r="H151" s="381"/>
      <c r="I151" s="381"/>
      <c r="J151" s="381"/>
      <c r="K151" s="381"/>
      <c r="L151" s="381"/>
    </row>
    <row r="152" spans="2:15" x14ac:dyDescent="0.2">
      <c r="B152" s="520" t="s">
        <v>358</v>
      </c>
      <c r="C152" s="870" t="s">
        <v>477</v>
      </c>
      <c r="D152" s="870"/>
      <c r="E152" s="870"/>
      <c r="F152" s="870"/>
      <c r="G152" s="870"/>
      <c r="H152" s="870"/>
      <c r="I152" s="870"/>
      <c r="J152" s="870"/>
      <c r="K152" s="870"/>
      <c r="L152" s="870"/>
      <c r="M152" s="870"/>
      <c r="N152" s="870"/>
      <c r="O152" s="870"/>
    </row>
    <row r="153" spans="2:15" x14ac:dyDescent="0.2">
      <c r="C153" s="870"/>
      <c r="D153" s="870"/>
      <c r="E153" s="870"/>
      <c r="F153" s="870"/>
      <c r="G153" s="870"/>
      <c r="H153" s="870"/>
      <c r="I153" s="870"/>
      <c r="J153" s="870"/>
      <c r="K153" s="870"/>
      <c r="L153" s="870"/>
      <c r="M153" s="870"/>
      <c r="N153" s="870"/>
      <c r="O153" s="870"/>
    </row>
    <row r="154" spans="2:15" x14ac:dyDescent="0.2">
      <c r="C154" s="870"/>
      <c r="D154" s="870"/>
      <c r="E154" s="870"/>
      <c r="F154" s="870"/>
      <c r="G154" s="870"/>
      <c r="H154" s="870"/>
      <c r="I154" s="870"/>
      <c r="J154" s="870"/>
      <c r="K154" s="870"/>
      <c r="L154" s="870"/>
      <c r="M154" s="870"/>
      <c r="N154" s="870"/>
      <c r="O154" s="870"/>
    </row>
    <row r="155" spans="2:15" x14ac:dyDescent="0.2">
      <c r="C155" s="870"/>
      <c r="D155" s="870"/>
      <c r="E155" s="870"/>
      <c r="F155" s="870"/>
      <c r="G155" s="870"/>
      <c r="H155" s="870"/>
      <c r="I155" s="870"/>
      <c r="J155" s="870"/>
      <c r="K155" s="870"/>
      <c r="L155" s="870"/>
      <c r="M155" s="870"/>
      <c r="N155" s="870"/>
      <c r="O155" s="870"/>
    </row>
  </sheetData>
  <mergeCells count="19">
    <mergeCell ref="C152:O155"/>
    <mergeCell ref="C121:O121"/>
    <mergeCell ref="C122:O122"/>
    <mergeCell ref="C124:O124"/>
    <mergeCell ref="G127:I127"/>
    <mergeCell ref="E126:I126"/>
    <mergeCell ref="C87:O87"/>
    <mergeCell ref="C88:O88"/>
    <mergeCell ref="C89:O89"/>
    <mergeCell ref="G94:G95"/>
    <mergeCell ref="C120:O120"/>
    <mergeCell ref="C54:O54"/>
    <mergeCell ref="C55:O55"/>
    <mergeCell ref="C86:O86"/>
    <mergeCell ref="B14:O14"/>
    <mergeCell ref="I24:I25"/>
    <mergeCell ref="E20:G20"/>
    <mergeCell ref="C53:O53"/>
    <mergeCell ref="B16:L16"/>
  </mergeCells>
  <conditionalFormatting sqref="C51">
    <cfRule type="expression" dxfId="59" priority="65">
      <formula>ABS($I$51-$I$49)&gt;1.01</formula>
    </cfRule>
  </conditionalFormatting>
  <conditionalFormatting sqref="G98">
    <cfRule type="expression" dxfId="58" priority="46">
      <formula>$G$98&gt;$N$98</formula>
    </cfRule>
    <cfRule type="expression" dxfId="57" priority="47">
      <formula>$G$98&lt;$M$98</formula>
    </cfRule>
  </conditionalFormatting>
  <conditionalFormatting sqref="I98">
    <cfRule type="expression" dxfId="56" priority="44">
      <formula>$I$98&gt;$N$98</formula>
    </cfRule>
    <cfRule type="expression" dxfId="55" priority="45">
      <formula>$I$98&lt;$M$98</formula>
    </cfRule>
  </conditionalFormatting>
  <conditionalFormatting sqref="G99 I99">
    <cfRule type="cellIs" dxfId="54" priority="42" operator="between">
      <formula>$M$99</formula>
      <formula>$N$99</formula>
    </cfRule>
  </conditionalFormatting>
  <conditionalFormatting sqref="G100 I100">
    <cfRule type="cellIs" dxfId="53" priority="41" operator="between">
      <formula>$M$100</formula>
      <formula>$N$100</formula>
    </cfRule>
  </conditionalFormatting>
  <conditionalFormatting sqref="G101 I101">
    <cfRule type="cellIs" dxfId="52" priority="40" operator="between">
      <formula>$M$101</formula>
      <formula>$N$101</formula>
    </cfRule>
  </conditionalFormatting>
  <conditionalFormatting sqref="G102 I102">
    <cfRule type="cellIs" dxfId="51" priority="39" operator="between">
      <formula>$M$102</formula>
      <formula>$N$102</formula>
    </cfRule>
  </conditionalFormatting>
  <conditionalFormatting sqref="G103 I103">
    <cfRule type="cellIs" dxfId="50" priority="38" operator="between">
      <formula>$M$103</formula>
      <formula>$N$103</formula>
    </cfRule>
  </conditionalFormatting>
  <conditionalFormatting sqref="G104 I104">
    <cfRule type="cellIs" dxfId="49" priority="37" operator="between">
      <formula>$M$104</formula>
      <formula>$N$104</formula>
    </cfRule>
  </conditionalFormatting>
  <conditionalFormatting sqref="G105 I105">
    <cfRule type="cellIs" dxfId="48" priority="36" operator="between">
      <formula>$M$105</formula>
      <formula>$N$105</formula>
    </cfRule>
  </conditionalFormatting>
  <conditionalFormatting sqref="G106 I106">
    <cfRule type="cellIs" dxfId="47" priority="35" operator="between">
      <formula>$M$106</formula>
      <formula>$N$106</formula>
    </cfRule>
  </conditionalFormatting>
  <conditionalFormatting sqref="G107 I107">
    <cfRule type="cellIs" dxfId="46" priority="34" operator="between">
      <formula>$M$107</formula>
      <formula>$N$107</formula>
    </cfRule>
  </conditionalFormatting>
  <conditionalFormatting sqref="G108 I108">
    <cfRule type="cellIs" dxfId="45" priority="33" operator="between">
      <formula>$M$108</formula>
      <formula>$N$108</formula>
    </cfRule>
  </conditionalFormatting>
  <conditionalFormatting sqref="G109 I109">
    <cfRule type="cellIs" dxfId="44" priority="32" operator="between">
      <formula>$M$109</formula>
      <formula>$N$109</formula>
    </cfRule>
  </conditionalFormatting>
  <conditionalFormatting sqref="G110 I110">
    <cfRule type="cellIs" dxfId="43" priority="31" operator="between">
      <formula>$M$110</formula>
      <formula>$N$110</formula>
    </cfRule>
  </conditionalFormatting>
  <conditionalFormatting sqref="G111 I111">
    <cfRule type="cellIs" dxfId="42" priority="30" operator="between">
      <formula>$M$111</formula>
      <formula>$N$111</formula>
    </cfRule>
  </conditionalFormatting>
  <conditionalFormatting sqref="G112 I112">
    <cfRule type="cellIs" dxfId="41" priority="29" operator="between">
      <formula>$M$112</formula>
      <formula>$N$112</formula>
    </cfRule>
  </conditionalFormatting>
  <conditionalFormatting sqref="G113 I113">
    <cfRule type="cellIs" dxfId="40" priority="28" operator="between">
      <formula>$M$113</formula>
      <formula>$N$113</formula>
    </cfRule>
  </conditionalFormatting>
  <conditionalFormatting sqref="G114 I114">
    <cfRule type="cellIs" dxfId="39" priority="27" operator="between">
      <formula>$M$114</formula>
      <formula>$N$114</formula>
    </cfRule>
  </conditionalFormatting>
  <conditionalFormatting sqref="G115 I115">
    <cfRule type="cellIs" dxfId="38" priority="26" operator="between">
      <formula>$M$115</formula>
      <formula>$N$115</formula>
    </cfRule>
  </conditionalFormatting>
  <conditionalFormatting sqref="G116 I116">
    <cfRule type="cellIs" dxfId="37" priority="25" operator="between">
      <formula>$M$116</formula>
      <formula>$N$116</formula>
    </cfRule>
  </conditionalFormatting>
  <conditionalFormatting sqref="G117 I117">
    <cfRule type="cellIs" dxfId="36" priority="24" operator="between">
      <formula>$M$117</formula>
      <formula>$N$117</formula>
    </cfRule>
  </conditionalFormatting>
  <conditionalFormatting sqref="G28:G47">
    <cfRule type="cellIs" dxfId="35" priority="23" operator="equal">
      <formula>0</formula>
    </cfRule>
  </conditionalFormatting>
  <conditionalFormatting sqref="E130 G130 I130">
    <cfRule type="cellIs" dxfId="34" priority="22" operator="between">
      <formula>$M$130</formula>
      <formula>$N$130</formula>
    </cfRule>
  </conditionalFormatting>
  <conditionalFormatting sqref="E131 G131 I131">
    <cfRule type="cellIs" dxfId="33" priority="21" operator="between">
      <formula>$M$131</formula>
      <formula>$N$131</formula>
    </cfRule>
  </conditionalFormatting>
  <conditionalFormatting sqref="E132 G132 I132">
    <cfRule type="cellIs" dxfId="32" priority="20" operator="between">
      <formula>$M$132</formula>
      <formula>$N$132</formula>
    </cfRule>
  </conditionalFormatting>
  <conditionalFormatting sqref="E133 G133 I133">
    <cfRule type="cellIs" dxfId="31" priority="19" operator="between">
      <formula>$M$133</formula>
      <formula>$N$133</formula>
    </cfRule>
  </conditionalFormatting>
  <conditionalFormatting sqref="E134 G134 I134">
    <cfRule type="cellIs" dxfId="30" priority="18" operator="between">
      <formula>$M$134</formula>
      <formula>$N$134</formula>
    </cfRule>
  </conditionalFormatting>
  <conditionalFormatting sqref="E135 G135 I135">
    <cfRule type="cellIs" dxfId="29" priority="17" operator="between">
      <formula>$M$135</formula>
      <formula>$N$135</formula>
    </cfRule>
  </conditionalFormatting>
  <conditionalFormatting sqref="E136 G136 I136">
    <cfRule type="cellIs" dxfId="28" priority="16" operator="between">
      <formula>$M$136</formula>
      <formula>$N$136</formula>
    </cfRule>
  </conditionalFormatting>
  <conditionalFormatting sqref="E137 G137 I137">
    <cfRule type="cellIs" dxfId="27" priority="15" operator="between">
      <formula>$M$137</formula>
      <formula>$N$137</formula>
    </cfRule>
  </conditionalFormatting>
  <conditionalFormatting sqref="E138 G138 I138">
    <cfRule type="cellIs" dxfId="26" priority="14" operator="between">
      <formula>$M$138</formula>
      <formula>$N$138</formula>
    </cfRule>
  </conditionalFormatting>
  <conditionalFormatting sqref="E139 G139 I139">
    <cfRule type="cellIs" dxfId="25" priority="13" operator="between">
      <formula>$M$139</formula>
      <formula>$N$139</formula>
    </cfRule>
  </conditionalFormatting>
  <conditionalFormatting sqref="E140 G140 I140">
    <cfRule type="cellIs" dxfId="24" priority="12" operator="between">
      <formula>$M$140</formula>
      <formula>$N$140</formula>
    </cfRule>
  </conditionalFormatting>
  <conditionalFormatting sqref="E141 G141 I141">
    <cfRule type="cellIs" dxfId="23" priority="11" operator="between">
      <formula>$M$141</formula>
      <formula>$N$141</formula>
    </cfRule>
  </conditionalFormatting>
  <conditionalFormatting sqref="E142 G142 I142">
    <cfRule type="cellIs" dxfId="22" priority="10" operator="between">
      <formula>$M$142</formula>
      <formula>$N$142</formula>
    </cfRule>
  </conditionalFormatting>
  <conditionalFormatting sqref="E143 G143 I143">
    <cfRule type="cellIs" dxfId="21" priority="9" operator="between">
      <formula>$M$143</formula>
      <formula>$N$143</formula>
    </cfRule>
  </conditionalFormatting>
  <conditionalFormatting sqref="E144 G144 I144">
    <cfRule type="cellIs" dxfId="20" priority="8" operator="between">
      <formula>$M$144</formula>
      <formula>$N$144</formula>
    </cfRule>
  </conditionalFormatting>
  <conditionalFormatting sqref="E145 G145 I145">
    <cfRule type="cellIs" dxfId="19" priority="7" operator="between">
      <formula>$M$145</formula>
      <formula>$N$145</formula>
    </cfRule>
  </conditionalFormatting>
  <conditionalFormatting sqref="E146 G146 I146">
    <cfRule type="cellIs" dxfId="18" priority="6" operator="between">
      <formula>$M$146</formula>
      <formula>$N$146</formula>
    </cfRule>
  </conditionalFormatting>
  <conditionalFormatting sqref="E147 G147 I147">
    <cfRule type="cellIs" dxfId="17" priority="5" operator="between">
      <formula>$M$147</formula>
      <formula>$N$147</formula>
    </cfRule>
  </conditionalFormatting>
  <conditionalFormatting sqref="E148 G148 I148">
    <cfRule type="cellIs" dxfId="16" priority="4" operator="between">
      <formula>$M$148</formula>
      <formula>$N$148</formula>
    </cfRule>
  </conditionalFormatting>
  <conditionalFormatting sqref="E149 G149 I149">
    <cfRule type="cellIs" dxfId="15" priority="3" operator="between">
      <formula>$M$149</formula>
      <formula>$N$149</formula>
    </cfRule>
  </conditionalFormatting>
  <conditionalFormatting sqref="K28:K47">
    <cfRule type="cellIs" dxfId="14" priority="2" operator="equal">
      <formula>0</formula>
    </cfRule>
  </conditionalFormatting>
  <conditionalFormatting sqref="E98">
    <cfRule type="cellIs" dxfId="13" priority="1" operator="between">
      <formula>$M$130</formula>
      <formula>$N$130</formula>
    </cfRule>
  </conditionalFormatting>
  <dataValidations count="3">
    <dataValidation type="list" allowBlank="1" showInputMessage="1" showErrorMessage="1" sqref="K98:K117" xr:uid="{00000000-0002-0000-0C00-000000000000}">
      <formula1>$O$98:$O$99</formula1>
    </dataValidation>
    <dataValidation type="list" allowBlank="1" showInputMessage="1" showErrorMessage="1" sqref="E95" xr:uid="{00000000-0002-0000-0C00-000001000000}">
      <formula1>"2006, 2007, 2008, 2009, 2010, 2011, 2012, 2013, 2014, 2015, 2016, 2017, 2018, 2019"</formula1>
    </dataValidation>
    <dataValidation type="list" allowBlank="1" showInputMessage="1" showErrorMessage="1" sqref="E128" xr:uid="{00000000-0002-0000-0C00-000002000000}">
      <formula1>"2016, 2017, 2018, 2019, 2020, 2021,2022"</formula1>
    </dataValidation>
  </dataValidations>
  <pageMargins left="0.39370078740157483" right="0.39370078740157483" top="0.74803149606299213" bottom="0.74803149606299213" header="0.31496062992125984" footer="0.31496062992125984"/>
  <pageSetup scale="76" fitToHeight="0" orientation="portrait" r:id="rId1"/>
  <rowBreaks count="3" manualBreakCount="3">
    <brk id="56" max="16383" man="1"/>
    <brk id="90" max="16383" man="1"/>
    <brk id="123" max="16383"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92D050"/>
    <pageSetUpPr fitToPage="1"/>
  </sheetPr>
  <dimension ref="A14:P68"/>
  <sheetViews>
    <sheetView showGridLines="0" topLeftCell="A4" zoomScaleNormal="100" workbookViewId="0">
      <selection activeCell="D22" sqref="D22"/>
    </sheetView>
  </sheetViews>
  <sheetFormatPr defaultRowHeight="12.75" x14ac:dyDescent="0.2"/>
  <cols>
    <col min="1" max="1" width="2.7109375" customWidth="1"/>
    <col min="2" max="2" width="4.7109375" customWidth="1"/>
    <col min="3" max="3" width="41.5703125" customWidth="1"/>
    <col min="4" max="7" width="20.7109375" customWidth="1"/>
    <col min="8" max="8" width="4.42578125" customWidth="1"/>
    <col min="9" max="9" width="3.7109375" customWidth="1"/>
    <col min="10" max="14" width="12.85546875" customWidth="1"/>
  </cols>
  <sheetData>
    <row r="14" spans="1:16" ht="18" customHeight="1" x14ac:dyDescent="0.25">
      <c r="A14" s="5"/>
      <c r="B14" s="885" t="s">
        <v>360</v>
      </c>
      <c r="C14" s="885"/>
      <c r="D14" s="885"/>
      <c r="E14" s="885"/>
      <c r="F14" s="885"/>
      <c r="G14" s="885"/>
      <c r="H14" s="885"/>
      <c r="I14" s="885"/>
      <c r="J14" s="557"/>
      <c r="K14" s="557"/>
      <c r="L14" s="557"/>
      <c r="M14" s="557"/>
      <c r="N14" s="557"/>
      <c r="O14" s="557"/>
      <c r="P14" s="557"/>
    </row>
    <row r="15" spans="1:16" x14ac:dyDescent="0.2">
      <c r="A15" s="5"/>
      <c r="B15" s="625"/>
      <c r="C15" s="625"/>
      <c r="D15" s="625"/>
      <c r="E15" s="625"/>
      <c r="F15" s="625"/>
      <c r="G15" s="625"/>
      <c r="H15" s="5"/>
      <c r="I15" s="5"/>
    </row>
    <row r="16" spans="1:16" x14ac:dyDescent="0.2">
      <c r="A16" s="5"/>
      <c r="B16" s="626" t="s">
        <v>361</v>
      </c>
      <c r="C16" s="625"/>
      <c r="D16" s="625"/>
      <c r="E16" s="625"/>
      <c r="F16" s="625"/>
      <c r="G16" s="625"/>
      <c r="H16" s="5"/>
      <c r="I16" s="5"/>
    </row>
    <row r="17" spans="1:9" x14ac:dyDescent="0.2">
      <c r="A17" s="5"/>
      <c r="B17" s="625"/>
      <c r="C17" s="625"/>
      <c r="D17" s="625"/>
      <c r="E17" s="625"/>
      <c r="F17" s="625"/>
      <c r="G17" s="625"/>
      <c r="H17" s="5"/>
      <c r="I17" s="5"/>
    </row>
    <row r="18" spans="1:9" x14ac:dyDescent="0.2">
      <c r="A18" s="5"/>
      <c r="B18" s="627" t="s">
        <v>386</v>
      </c>
      <c r="C18" s="628" t="s">
        <v>387</v>
      </c>
      <c r="D18" s="625"/>
      <c r="E18" s="625"/>
      <c r="F18" s="625"/>
      <c r="G18" s="625"/>
      <c r="H18" s="5"/>
      <c r="I18" s="5"/>
    </row>
    <row r="19" spans="1:9" ht="13.5" thickBot="1" x14ac:dyDescent="0.25">
      <c r="A19" s="5"/>
      <c r="B19" s="625"/>
      <c r="C19" s="625"/>
      <c r="D19" s="625"/>
      <c r="E19" s="625"/>
      <c r="F19" s="625"/>
      <c r="G19" s="625"/>
      <c r="H19" s="5"/>
      <c r="I19" s="5"/>
    </row>
    <row r="20" spans="1:9" x14ac:dyDescent="0.2">
      <c r="A20" s="5"/>
      <c r="B20" s="5"/>
      <c r="C20" s="886" t="s">
        <v>362</v>
      </c>
      <c r="D20" s="887"/>
      <c r="E20" s="626"/>
      <c r="F20" s="625"/>
      <c r="G20" s="625"/>
      <c r="H20" s="625"/>
      <c r="I20" s="5"/>
    </row>
    <row r="21" spans="1:9" x14ac:dyDescent="0.2">
      <c r="A21" s="5"/>
      <c r="B21" s="5"/>
      <c r="C21" s="629" t="s">
        <v>363</v>
      </c>
      <c r="D21" s="630">
        <f>VLOOKUP("Residential",'13. Rate Design'!D28:L47,5,FALSE)</f>
        <v>40087.583333333314</v>
      </c>
      <c r="E21" s="625"/>
      <c r="F21" s="625"/>
      <c r="G21" s="625"/>
      <c r="H21" s="625"/>
      <c r="I21" s="5"/>
    </row>
    <row r="22" spans="1:9" ht="13.5" thickBot="1" x14ac:dyDescent="0.25">
      <c r="A22" s="5"/>
      <c r="B22" s="5"/>
      <c r="C22" s="631" t="s">
        <v>273</v>
      </c>
      <c r="D22" s="632">
        <f>VLOOKUP("Residential",'13. Rate Design'!D28:L47,7,FALSE)</f>
        <v>353525757.92571801</v>
      </c>
      <c r="E22" s="625"/>
      <c r="F22" s="625"/>
      <c r="G22" s="625"/>
      <c r="H22" s="625"/>
      <c r="I22" s="5"/>
    </row>
    <row r="23" spans="1:9" ht="13.5" thickBot="1" x14ac:dyDescent="0.25">
      <c r="A23" s="5"/>
      <c r="B23" s="5"/>
      <c r="C23" s="625"/>
      <c r="D23" s="625"/>
      <c r="E23" s="625"/>
      <c r="F23" s="625"/>
      <c r="G23" s="625"/>
      <c r="H23" s="625"/>
      <c r="I23" s="5"/>
    </row>
    <row r="24" spans="1:9" ht="30.75" customHeight="1" thickBot="1" x14ac:dyDescent="0.25">
      <c r="A24" s="5"/>
      <c r="B24" s="5"/>
      <c r="C24" s="633" t="s">
        <v>364</v>
      </c>
      <c r="D24" s="576">
        <f>VLOOKUP("Residential",'11. Cost_Allocation'!C62:K81,7,FALSE)</f>
        <v>17435905.636161584</v>
      </c>
      <c r="E24" s="625"/>
      <c r="F24" s="892"/>
      <c r="G24" s="892"/>
      <c r="H24" s="625"/>
    </row>
    <row r="25" spans="1:9" ht="13.5" thickBot="1" x14ac:dyDescent="0.25">
      <c r="A25" s="5"/>
      <c r="B25" s="5"/>
      <c r="C25" s="625"/>
      <c r="D25" s="625"/>
      <c r="E25" s="625"/>
      <c r="F25" s="625"/>
      <c r="G25" s="625"/>
      <c r="H25" s="625"/>
      <c r="I25" s="5"/>
    </row>
    <row r="26" spans="1:9" x14ac:dyDescent="0.2">
      <c r="A26" s="5"/>
      <c r="B26" s="5"/>
      <c r="C26" s="886" t="s">
        <v>365</v>
      </c>
      <c r="D26" s="887"/>
      <c r="E26" s="625"/>
      <c r="F26" s="893"/>
      <c r="G26" s="893"/>
      <c r="H26" s="553"/>
    </row>
    <row r="27" spans="1:9" x14ac:dyDescent="0.2">
      <c r="A27" s="5"/>
      <c r="B27" s="5"/>
      <c r="C27" s="629" t="s">
        <v>366</v>
      </c>
      <c r="D27" s="714"/>
      <c r="E27" s="625"/>
      <c r="F27" s="893"/>
      <c r="G27" s="893"/>
      <c r="H27" s="553"/>
    </row>
    <row r="28" spans="1:9" ht="13.5" thickBot="1" x14ac:dyDescent="0.25">
      <c r="A28" s="5"/>
      <c r="B28" s="5"/>
      <c r="C28" s="631" t="s">
        <v>367</v>
      </c>
      <c r="D28" s="715"/>
      <c r="E28" s="625"/>
      <c r="F28" s="893"/>
      <c r="G28" s="893"/>
      <c r="H28" s="553"/>
    </row>
    <row r="29" spans="1:9" x14ac:dyDescent="0.2">
      <c r="A29" s="5"/>
      <c r="B29" s="5"/>
      <c r="C29" s="643"/>
      <c r="D29" s="644"/>
      <c r="E29" s="625"/>
      <c r="F29" s="893"/>
      <c r="G29" s="893"/>
      <c r="H29" s="553"/>
    </row>
    <row r="30" spans="1:9" x14ac:dyDescent="0.2">
      <c r="A30" s="5"/>
      <c r="B30" s="5"/>
      <c r="C30" s="625"/>
      <c r="D30" s="625"/>
      <c r="E30" s="625"/>
      <c r="F30" s="625"/>
      <c r="G30" s="625"/>
      <c r="H30" s="553"/>
    </row>
    <row r="31" spans="1:9" x14ac:dyDescent="0.2">
      <c r="A31" s="5"/>
      <c r="B31" s="378" t="s">
        <v>388</v>
      </c>
      <c r="C31" s="628" t="s">
        <v>390</v>
      </c>
      <c r="D31" s="625"/>
      <c r="E31" s="625"/>
      <c r="F31" s="625"/>
      <c r="G31" s="625"/>
      <c r="H31" s="553"/>
    </row>
    <row r="32" spans="1:9" ht="13.5" thickBot="1" x14ac:dyDescent="0.25">
      <c r="A32" s="5"/>
      <c r="B32" s="5"/>
      <c r="C32" s="625"/>
      <c r="D32" s="625"/>
      <c r="E32" s="625"/>
      <c r="F32" s="625"/>
      <c r="G32" s="625"/>
      <c r="H32" s="553"/>
    </row>
    <row r="33" spans="1:8" x14ac:dyDescent="0.2">
      <c r="A33" s="5"/>
      <c r="B33" s="5"/>
      <c r="C33" s="645"/>
      <c r="D33" s="646" t="s">
        <v>368</v>
      </c>
      <c r="E33" s="634" t="s">
        <v>369</v>
      </c>
      <c r="F33" s="635" t="s">
        <v>370</v>
      </c>
      <c r="G33" s="695" t="s">
        <v>371</v>
      </c>
      <c r="H33" s="553"/>
    </row>
    <row r="34" spans="1:8" x14ac:dyDescent="0.2">
      <c r="A34" s="5"/>
      <c r="B34" s="5"/>
      <c r="C34" s="629" t="s">
        <v>372</v>
      </c>
      <c r="D34" s="647" t="str">
        <f>IF(D27="","",D27)</f>
        <v/>
      </c>
      <c r="E34" s="636">
        <f>IF(D21="","",D21)</f>
        <v>40087.583333333314</v>
      </c>
      <c r="F34" s="637" t="str">
        <f>IF(ISERROR(D34*E34*12),"",D34*E34*12)</f>
        <v/>
      </c>
      <c r="G34" s="638" t="str">
        <f>IF(ISERROR(F34/F36),"",F34/F36)</f>
        <v/>
      </c>
      <c r="H34" s="553"/>
    </row>
    <row r="35" spans="1:8" x14ac:dyDescent="0.2">
      <c r="A35" s="5"/>
      <c r="B35" s="5"/>
      <c r="C35" s="629" t="s">
        <v>373</v>
      </c>
      <c r="D35" s="647" t="str">
        <f>IF(D28="","",D28)</f>
        <v/>
      </c>
      <c r="E35" s="639">
        <f>IF(D22="","",D22)</f>
        <v>353525757.92571801</v>
      </c>
      <c r="F35" s="637" t="str">
        <f>IF(ISERROR(D35*E35),"",D35*E35)</f>
        <v/>
      </c>
      <c r="G35" s="638" t="str">
        <f>IF(ISERROR(F35/F36),"",F35/F36)</f>
        <v/>
      </c>
      <c r="H35" s="553"/>
    </row>
    <row r="36" spans="1:8" ht="13.5" thickBot="1" x14ac:dyDescent="0.25">
      <c r="A36" s="5"/>
      <c r="B36" s="5"/>
      <c r="C36" s="648" t="s">
        <v>374</v>
      </c>
      <c r="D36" s="649" t="s">
        <v>375</v>
      </c>
      <c r="E36" s="640" t="s">
        <v>375</v>
      </c>
      <c r="F36" s="641" t="str">
        <f>IF(ISERROR(F34+F35),"",F34+F35)</f>
        <v/>
      </c>
      <c r="G36" s="642" t="s">
        <v>375</v>
      </c>
      <c r="H36" s="553"/>
    </row>
    <row r="37" spans="1:8" x14ac:dyDescent="0.2">
      <c r="A37" s="5"/>
      <c r="B37" s="626"/>
      <c r="C37" s="625"/>
      <c r="D37" s="625"/>
      <c r="E37" s="625"/>
      <c r="F37" s="625"/>
      <c r="G37" s="625"/>
    </row>
    <row r="38" spans="1:8" x14ac:dyDescent="0.2">
      <c r="A38" s="5"/>
      <c r="B38" s="650" t="s">
        <v>389</v>
      </c>
      <c r="C38" s="651" t="s">
        <v>391</v>
      </c>
      <c r="D38" s="625"/>
      <c r="E38" s="625"/>
      <c r="F38" s="625"/>
      <c r="G38" s="625"/>
    </row>
    <row r="39" spans="1:8" ht="13.5" thickBot="1" x14ac:dyDescent="0.25">
      <c r="A39" s="5"/>
      <c r="B39" s="626"/>
      <c r="C39" s="625"/>
      <c r="D39" s="625"/>
      <c r="E39" s="625"/>
      <c r="F39" s="625"/>
      <c r="G39" s="625"/>
    </row>
    <row r="40" spans="1:8" ht="27.75" thickBot="1" x14ac:dyDescent="0.25">
      <c r="A40" s="5"/>
      <c r="B40" s="5"/>
      <c r="C40" s="652" t="s">
        <v>403</v>
      </c>
      <c r="D40" s="596"/>
      <c r="E40" s="626"/>
      <c r="F40" s="625"/>
      <c r="G40" s="625"/>
      <c r="H40" s="625"/>
    </row>
    <row r="41" spans="1:8" ht="13.5" thickBot="1" x14ac:dyDescent="0.25">
      <c r="A41" s="5"/>
      <c r="B41" s="5"/>
      <c r="C41" s="626"/>
      <c r="D41" s="625"/>
      <c r="E41" s="625"/>
      <c r="F41" s="625"/>
      <c r="G41" s="625"/>
      <c r="H41" s="625"/>
    </row>
    <row r="42" spans="1:8" ht="38.25" x14ac:dyDescent="0.2">
      <c r="A42" s="5"/>
      <c r="B42" s="5"/>
      <c r="C42" s="667"/>
      <c r="D42" s="668" t="s">
        <v>376</v>
      </c>
      <c r="E42" s="653" t="s">
        <v>377</v>
      </c>
      <c r="F42" s="654" t="s">
        <v>378</v>
      </c>
      <c r="G42" s="625"/>
      <c r="H42" s="625"/>
    </row>
    <row r="43" spans="1:8" x14ac:dyDescent="0.2">
      <c r="A43" s="5"/>
      <c r="B43" s="5"/>
      <c r="C43" s="629" t="s">
        <v>372</v>
      </c>
      <c r="D43" s="637" t="str">
        <f>IF(ISERROR(D$24*G34),"",D$24*G34)</f>
        <v/>
      </c>
      <c r="E43" s="655" t="str">
        <f>IF(ISERROR(ROUND(D43/D21/12,2)),"",ROUND(D43/D21/12,2))</f>
        <v/>
      </c>
      <c r="F43" s="656" t="str">
        <f>IF(ISERROR(E43*D21*12),"",E43*D21*12)</f>
        <v/>
      </c>
      <c r="G43" s="625"/>
      <c r="H43" s="625"/>
    </row>
    <row r="44" spans="1:8" x14ac:dyDescent="0.2">
      <c r="A44" s="5"/>
      <c r="B44" s="5"/>
      <c r="C44" s="669" t="s">
        <v>373</v>
      </c>
      <c r="D44" s="670" t="str">
        <f>IF(ISERROR(D$24*G35),"",D$24*G35)</f>
        <v/>
      </c>
      <c r="E44" s="657" t="str">
        <f>IF(ISERROR(ROUND(D44/D22,4)),"",ROUND(D44/D22,4))</f>
        <v/>
      </c>
      <c r="F44" s="656" t="str">
        <f>IF(ISERROR(E44*D22),"",E44*D22)</f>
        <v/>
      </c>
      <c r="G44" s="625"/>
      <c r="H44" s="625"/>
    </row>
    <row r="45" spans="1:8" ht="13.5" thickBot="1" x14ac:dyDescent="0.25">
      <c r="A45" s="5"/>
      <c r="B45" s="5"/>
      <c r="C45" s="671" t="s">
        <v>374</v>
      </c>
      <c r="D45" s="672" t="str">
        <f>IF(ISERROR(D43+D44),"",D43+D44)</f>
        <v/>
      </c>
      <c r="E45" s="658" t="s">
        <v>375</v>
      </c>
      <c r="F45" s="659" t="str">
        <f>IF(ISERROR(F43+F44),"",F43+F44)</f>
        <v/>
      </c>
      <c r="G45" s="625"/>
      <c r="H45" s="625"/>
    </row>
    <row r="46" spans="1:8" ht="13.5" thickBot="1" x14ac:dyDescent="0.25">
      <c r="A46" s="5"/>
      <c r="B46" s="5"/>
      <c r="C46" s="626"/>
      <c r="D46" s="625"/>
      <c r="E46" s="625"/>
      <c r="F46" s="625"/>
      <c r="G46" s="625"/>
      <c r="H46" s="625"/>
    </row>
    <row r="47" spans="1:8" ht="38.25" x14ac:dyDescent="0.2">
      <c r="A47" s="5"/>
      <c r="B47" s="5"/>
      <c r="C47" s="667"/>
      <c r="D47" s="634" t="s">
        <v>379</v>
      </c>
      <c r="E47" s="660" t="s">
        <v>380</v>
      </c>
      <c r="F47" s="661" t="s">
        <v>381</v>
      </c>
      <c r="G47" s="662" t="s">
        <v>382</v>
      </c>
      <c r="H47" s="626"/>
    </row>
    <row r="48" spans="1:8" x14ac:dyDescent="0.2">
      <c r="A48" s="5"/>
      <c r="B48" s="5"/>
      <c r="C48" s="629" t="s">
        <v>372</v>
      </c>
      <c r="D48" s="673" t="str">
        <f>IF(ISERROR(((1-G34)/D40)+G34),"",((1-G34)/D40)+G34)</f>
        <v/>
      </c>
      <c r="E48" s="663" t="str">
        <f>IF(ISERROR(D48*D$24),"",D48*D$24)</f>
        <v/>
      </c>
      <c r="F48" s="712" t="str">
        <f>IF(ISERROR(ROUND(E48/D21/12,2)),"",ROUND(E48/D21/12,2))</f>
        <v/>
      </c>
      <c r="G48" s="656" t="str">
        <f>IF(ISERROR(F48*12*D21),"",F48*12*D21)</f>
        <v/>
      </c>
      <c r="H48" s="626"/>
    </row>
    <row r="49" spans="1:8" x14ac:dyDescent="0.2">
      <c r="A49" s="5"/>
      <c r="B49" s="5"/>
      <c r="C49" s="669" t="s">
        <v>373</v>
      </c>
      <c r="D49" s="674" t="str">
        <f>IF(ISERROR(1-D48),"",1-D48)</f>
        <v/>
      </c>
      <c r="E49" s="664" t="str">
        <f>IF(ISERROR(D49*D$24),"",D49*D$24)</f>
        <v/>
      </c>
      <c r="F49" s="713" t="str">
        <f>IF(ISERROR(ROUND(E49/D22,4)),"",ROUND(E49/D22,4))</f>
        <v/>
      </c>
      <c r="G49" s="665" t="str">
        <f>IF(ISERROR(F49*D22),"",F49*D22)</f>
        <v/>
      </c>
      <c r="H49" s="626"/>
    </row>
    <row r="50" spans="1:8" ht="13.5" thickBot="1" x14ac:dyDescent="0.25">
      <c r="A50" s="5"/>
      <c r="B50" s="5"/>
      <c r="C50" s="671" t="s">
        <v>374</v>
      </c>
      <c r="D50" s="675" t="s">
        <v>375</v>
      </c>
      <c r="E50" s="641">
        <f>IF(ISERROR(SUM(E48:E49)),"",SUM(E48:E49))</f>
        <v>0</v>
      </c>
      <c r="F50" s="658" t="s">
        <v>375</v>
      </c>
      <c r="G50" s="666" t="str">
        <f>IF(ISERROR(G48+G49),"",G48+G49)</f>
        <v/>
      </c>
      <c r="H50" s="625"/>
    </row>
    <row r="51" spans="1:8" ht="13.5" thickBot="1" x14ac:dyDescent="0.25">
      <c r="A51" s="5"/>
      <c r="B51" s="5"/>
      <c r="C51" s="626"/>
      <c r="D51" s="625"/>
      <c r="E51" s="625"/>
      <c r="F51" s="625"/>
      <c r="G51" s="625"/>
      <c r="H51" s="553"/>
    </row>
    <row r="52" spans="1:8" ht="14.25" x14ac:dyDescent="0.2">
      <c r="A52" s="5"/>
      <c r="B52" s="5"/>
      <c r="C52" s="888" t="s">
        <v>383</v>
      </c>
      <c r="D52" s="889"/>
      <c r="E52" s="625"/>
      <c r="F52" s="625"/>
      <c r="G52" s="625"/>
      <c r="H52" s="553"/>
    </row>
    <row r="53" spans="1:8" x14ac:dyDescent="0.2">
      <c r="A53" s="5"/>
      <c r="B53" s="5"/>
      <c r="C53" s="629" t="s">
        <v>384</v>
      </c>
      <c r="D53" s="656" t="str">
        <f>IF(ISERROR(F48-E43),"",F48-E43)</f>
        <v/>
      </c>
      <c r="E53" s="625"/>
      <c r="F53" s="625"/>
      <c r="G53" s="625"/>
      <c r="H53" s="553"/>
    </row>
    <row r="54" spans="1:8" x14ac:dyDescent="0.2">
      <c r="A54" s="5"/>
      <c r="B54" s="5"/>
      <c r="C54" s="890" t="s">
        <v>385</v>
      </c>
      <c r="D54" s="711" t="str">
        <f>IF(ISERROR((F48*12*D21)+(F49*D22)-D24),"",(F48*12*D21)+(F49*D22)-D24)</f>
        <v/>
      </c>
      <c r="E54" s="625"/>
      <c r="F54" s="625"/>
      <c r="G54" s="625"/>
      <c r="H54" s="553"/>
    </row>
    <row r="55" spans="1:8" ht="13.5" thickBot="1" x14ac:dyDescent="0.25">
      <c r="A55" s="5"/>
      <c r="B55" s="5"/>
      <c r="C55" s="891"/>
      <c r="D55" s="676" t="str">
        <f>IF(ISERROR(D54/D24), "", D54/D24)</f>
        <v/>
      </c>
      <c r="E55" s="625"/>
      <c r="F55" s="625"/>
      <c r="G55" s="625"/>
      <c r="H55" s="553"/>
    </row>
    <row r="56" spans="1:8" x14ac:dyDescent="0.2">
      <c r="A56" s="5"/>
      <c r="B56" s="626"/>
      <c r="C56" s="625"/>
      <c r="D56" s="625"/>
      <c r="E56" s="625"/>
      <c r="F56" s="625"/>
      <c r="G56" s="625"/>
    </row>
    <row r="57" spans="1:8" x14ac:dyDescent="0.2">
      <c r="A57" s="5"/>
      <c r="B57" s="628" t="s">
        <v>42</v>
      </c>
      <c r="C57" s="625"/>
      <c r="D57" s="625"/>
      <c r="E57" s="625"/>
      <c r="F57" s="625"/>
      <c r="G57" s="625"/>
    </row>
    <row r="58" spans="1:8" x14ac:dyDescent="0.2">
      <c r="A58" s="5"/>
      <c r="B58" s="625"/>
      <c r="C58" s="625"/>
      <c r="D58" s="625"/>
      <c r="E58" s="625"/>
      <c r="F58" s="625"/>
      <c r="G58" s="625"/>
    </row>
    <row r="59" spans="1:8" ht="14.25" x14ac:dyDescent="0.2">
      <c r="A59" s="5"/>
      <c r="B59" s="677">
        <v>1</v>
      </c>
      <c r="C59" s="882" t="s">
        <v>397</v>
      </c>
      <c r="D59" s="883"/>
      <c r="E59" s="883"/>
      <c r="F59" s="883"/>
      <c r="G59" s="883"/>
      <c r="H59" s="553"/>
    </row>
    <row r="60" spans="1:8" x14ac:dyDescent="0.2">
      <c r="A60" s="5"/>
      <c r="B60" s="5"/>
      <c r="C60" s="883"/>
      <c r="D60" s="883"/>
      <c r="E60" s="883"/>
      <c r="F60" s="883"/>
      <c r="G60" s="883"/>
      <c r="H60" s="553"/>
    </row>
    <row r="61" spans="1:8" x14ac:dyDescent="0.2">
      <c r="A61" s="5"/>
      <c r="B61" s="5"/>
      <c r="C61" s="625"/>
      <c r="D61" s="678"/>
      <c r="E61" s="678"/>
      <c r="F61" s="678"/>
      <c r="G61" s="678"/>
      <c r="H61" s="554"/>
    </row>
    <row r="62" spans="1:8" ht="12.75" customHeight="1" x14ac:dyDescent="0.2">
      <c r="A62" s="5"/>
      <c r="B62" s="679">
        <v>2</v>
      </c>
      <c r="C62" s="884" t="s">
        <v>449</v>
      </c>
      <c r="D62" s="884"/>
      <c r="E62" s="884"/>
      <c r="F62" s="884"/>
      <c r="G62" s="884"/>
      <c r="H62" s="554"/>
    </row>
    <row r="63" spans="1:8" x14ac:dyDescent="0.2">
      <c r="A63" s="5"/>
      <c r="B63" s="5"/>
      <c r="C63" s="884"/>
      <c r="D63" s="884"/>
      <c r="E63" s="884"/>
      <c r="F63" s="884"/>
      <c r="G63" s="884"/>
      <c r="H63" s="555"/>
    </row>
    <row r="64" spans="1:8" x14ac:dyDescent="0.2">
      <c r="A64" s="5"/>
      <c r="B64" s="5"/>
      <c r="C64" s="884"/>
      <c r="D64" s="884"/>
      <c r="E64" s="884"/>
      <c r="F64" s="884"/>
      <c r="G64" s="884"/>
      <c r="H64" s="555"/>
    </row>
    <row r="65" spans="1:8" x14ac:dyDescent="0.2">
      <c r="A65" s="5"/>
      <c r="B65" s="5"/>
      <c r="C65" s="884"/>
      <c r="D65" s="884"/>
      <c r="E65" s="884"/>
      <c r="F65" s="884"/>
      <c r="G65" s="884"/>
      <c r="H65" s="562"/>
    </row>
    <row r="66" spans="1:8" x14ac:dyDescent="0.2">
      <c r="A66" s="5"/>
      <c r="B66" s="5"/>
      <c r="C66" s="694"/>
      <c r="D66" s="694"/>
      <c r="E66" s="694"/>
      <c r="F66" s="694"/>
      <c r="G66" s="694"/>
      <c r="H66" s="562"/>
    </row>
    <row r="67" spans="1:8" ht="14.25" x14ac:dyDescent="0.2">
      <c r="A67" s="5"/>
      <c r="B67" s="679">
        <v>3</v>
      </c>
      <c r="C67" s="884" t="s">
        <v>392</v>
      </c>
      <c r="D67" s="884"/>
      <c r="E67" s="884"/>
      <c r="F67" s="884"/>
      <c r="G67" s="884"/>
      <c r="H67" s="556"/>
    </row>
    <row r="68" spans="1:8" x14ac:dyDescent="0.2">
      <c r="A68" s="5"/>
      <c r="B68" s="5"/>
      <c r="C68" s="884"/>
      <c r="D68" s="884"/>
      <c r="E68" s="884"/>
      <c r="F68" s="884"/>
      <c r="G68" s="884"/>
      <c r="H68" s="553"/>
    </row>
  </sheetData>
  <sheetProtection algorithmName="SHA-512" hashValue="hW/x6tO/wuhedVdHJIgRIOJX8uX+8tGhyPC3ztnY5UA3PJBknSKHSPiKw5xbChWHxY3CPSHk3xiKd/aMTqclcg==" saltValue="2iTLK3GUQ9R0eFgJa1X8Mg==" spinCount="100000" sheet="1" objects="1" scenarios="1"/>
  <mergeCells count="10">
    <mergeCell ref="C59:G60"/>
    <mergeCell ref="C67:G68"/>
    <mergeCell ref="B14:I14"/>
    <mergeCell ref="C20:D20"/>
    <mergeCell ref="C26:D26"/>
    <mergeCell ref="C52:D52"/>
    <mergeCell ref="C54:C55"/>
    <mergeCell ref="F24:G24"/>
    <mergeCell ref="F26:G29"/>
    <mergeCell ref="C62:G65"/>
  </mergeCells>
  <dataValidations disablePrompts="1" count="1">
    <dataValidation type="decimal" allowBlank="1" showInputMessage="1" showErrorMessage="1" sqref="D40" xr:uid="{00000000-0002-0000-0D00-000000000000}">
      <formula1>0</formula1>
      <formula2>6</formula2>
    </dataValidation>
  </dataValidations>
  <pageMargins left="0.31496062992125984" right="0.31496062992125984" top="0.74803149606299213" bottom="0.74803149606299213" header="0.31496062992125984" footer="0.31496062992125984"/>
  <pageSetup scale="73"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92D050"/>
  </sheetPr>
  <dimension ref="A4:AQ57"/>
  <sheetViews>
    <sheetView showGridLines="0" tabSelected="1" topLeftCell="G22" zoomScaleNormal="100" workbookViewId="0">
      <selection activeCell="AE28" sqref="AE28:AE36"/>
    </sheetView>
  </sheetViews>
  <sheetFormatPr defaultRowHeight="12.75" x14ac:dyDescent="0.2"/>
  <cols>
    <col min="1" max="1" width="1.7109375" customWidth="1"/>
    <col min="2" max="2" width="2.7109375" customWidth="1"/>
    <col min="3" max="3" width="1.85546875" customWidth="1"/>
    <col min="4" max="4" width="32.85546875" customWidth="1"/>
    <col min="5" max="5" width="1.85546875" customWidth="1"/>
    <col min="6" max="6" width="12.85546875" customWidth="1"/>
    <col min="7" max="7" width="1.85546875" customWidth="1"/>
    <col min="8" max="8" width="11.85546875" customWidth="1"/>
    <col min="9" max="9" width="1.85546875" customWidth="1"/>
    <col min="10" max="10" width="15" bestFit="1" customWidth="1"/>
    <col min="11" max="11" width="1.85546875" customWidth="1"/>
    <col min="12" max="12" width="11.28515625" bestFit="1" customWidth="1"/>
    <col min="13" max="14" width="1.85546875" customWidth="1"/>
    <col min="15" max="15" width="13.85546875" customWidth="1"/>
    <col min="16" max="16" width="1.85546875" customWidth="1"/>
    <col min="17" max="17" width="13.85546875" customWidth="1"/>
    <col min="18" max="18" width="1.85546875" customWidth="1"/>
    <col min="19" max="19" width="14.140625" customWidth="1"/>
    <col min="20" max="20" width="2.85546875" customWidth="1"/>
    <col min="21" max="21" width="14.140625" customWidth="1"/>
    <col min="22" max="22" width="3.42578125" customWidth="1"/>
    <col min="23" max="23" width="14.140625" customWidth="1"/>
    <col min="24" max="24" width="1.85546875" customWidth="1"/>
    <col min="25" max="25" width="13.5703125" customWidth="1"/>
    <col min="26" max="26" width="1.85546875" customWidth="1"/>
    <col min="27" max="27" width="11.85546875" customWidth="1"/>
    <col min="28" max="28" width="2.28515625" customWidth="1"/>
    <col min="29" max="29" width="9.42578125" customWidth="1"/>
    <col min="30" max="30" width="1.85546875" customWidth="1"/>
    <col min="31" max="31" width="11.7109375" customWidth="1"/>
    <col min="32" max="32" width="2" customWidth="1"/>
    <col min="33" max="33" width="5.85546875" customWidth="1"/>
    <col min="34" max="34" width="3.28515625" customWidth="1"/>
    <col min="35" max="35" width="9.28515625" customWidth="1"/>
    <col min="36" max="36" width="1.85546875" customWidth="1"/>
    <col min="37" max="37" width="14.85546875" customWidth="1"/>
    <col min="38" max="38" width="1.85546875" customWidth="1"/>
    <col min="39" max="39" width="16.5703125" customWidth="1"/>
    <col min="40" max="40" width="1.85546875" customWidth="1"/>
    <col min="41" max="41" width="14.7109375" customWidth="1"/>
    <col min="42" max="42" width="2.7109375" customWidth="1"/>
    <col min="43" max="43" width="19.140625" customWidth="1"/>
  </cols>
  <sheetData>
    <row r="4" spans="2:41" x14ac:dyDescent="0.2">
      <c r="AC4" s="600" t="str">
        <f>'3. Data_Input_Sheet'!E12</f>
        <v>Initial Application</v>
      </c>
      <c r="AD4" s="600">
        <v>1</v>
      </c>
      <c r="AE4" s="600" t="s">
        <v>277</v>
      </c>
      <c r="AF4" s="600" t="s">
        <v>280</v>
      </c>
      <c r="AG4" s="600" t="s">
        <v>287</v>
      </c>
    </row>
    <row r="5" spans="2:41" x14ac:dyDescent="0.2">
      <c r="AC5" s="600" t="str">
        <f>IF(ISBLANK('3. Data_Input_Sheet'!M12)," ",'3. Data_Input_Sheet'!M12)</f>
        <v xml:space="preserve"> </v>
      </c>
      <c r="AD5" s="600">
        <v>2</v>
      </c>
      <c r="AE5" s="600" t="s">
        <v>278</v>
      </c>
      <c r="AF5" s="600" t="s">
        <v>281</v>
      </c>
      <c r="AG5" s="600" t="s">
        <v>288</v>
      </c>
    </row>
    <row r="6" spans="2:41" x14ac:dyDescent="0.2">
      <c r="AC6" s="600" t="str">
        <f>'3. Data_Input_Sheet'!U12</f>
        <v>Per Board Decision</v>
      </c>
      <c r="AD6" s="600">
        <v>3</v>
      </c>
      <c r="AE6" s="600" t="s">
        <v>279</v>
      </c>
      <c r="AF6" s="600" t="s">
        <v>282</v>
      </c>
      <c r="AG6" s="600" t="s">
        <v>289</v>
      </c>
    </row>
    <row r="14" spans="2:41" x14ac:dyDescent="0.2">
      <c r="E14" s="443"/>
      <c r="F14" s="443"/>
    </row>
    <row r="15" spans="2:41" ht="18" x14ac:dyDescent="0.25">
      <c r="B15" s="862" t="s">
        <v>275</v>
      </c>
      <c r="C15" s="862"/>
      <c r="D15" s="862"/>
      <c r="E15" s="862"/>
      <c r="F15" s="862"/>
      <c r="G15" s="862"/>
      <c r="H15" s="862"/>
      <c r="I15" s="862"/>
      <c r="J15" s="862"/>
      <c r="K15" s="862"/>
      <c r="L15" s="862"/>
      <c r="M15" s="862"/>
      <c r="N15" s="862"/>
      <c r="O15" s="862"/>
      <c r="P15" s="862"/>
      <c r="Q15" s="862"/>
      <c r="R15" s="862"/>
      <c r="S15" s="862"/>
      <c r="T15" s="862"/>
      <c r="U15" s="862"/>
      <c r="V15" s="862"/>
      <c r="W15" s="862"/>
      <c r="X15" s="862"/>
      <c r="Y15" s="862"/>
      <c r="Z15" s="862"/>
      <c r="AA15" s="862"/>
      <c r="AB15" s="862"/>
      <c r="AC15" s="862"/>
      <c r="AD15" s="862"/>
      <c r="AE15" s="862"/>
      <c r="AF15" s="862"/>
      <c r="AG15" s="862"/>
      <c r="AH15" s="862"/>
      <c r="AI15" s="862"/>
      <c r="AJ15" s="862"/>
      <c r="AK15" s="862"/>
      <c r="AL15" s="862"/>
      <c r="AM15" s="862"/>
      <c r="AN15" s="862"/>
      <c r="AO15" s="862"/>
    </row>
    <row r="16" spans="2:41" x14ac:dyDescent="0.2">
      <c r="D16" s="443"/>
      <c r="E16" s="443"/>
      <c r="F16" s="443"/>
    </row>
    <row r="17" spans="1:41" ht="27.75" customHeight="1" x14ac:dyDescent="0.2">
      <c r="B17" s="870" t="s">
        <v>416</v>
      </c>
      <c r="C17" s="870"/>
      <c r="D17" s="870"/>
      <c r="E17" s="870"/>
      <c r="F17" s="870"/>
      <c r="G17" s="870"/>
      <c r="H17" s="870"/>
      <c r="I17" s="870"/>
      <c r="J17" s="870"/>
      <c r="K17" s="870"/>
      <c r="L17" s="870"/>
      <c r="M17" s="870"/>
      <c r="N17" s="870"/>
      <c r="O17" s="870"/>
      <c r="P17" s="870"/>
      <c r="Q17" s="870"/>
      <c r="R17" s="870"/>
      <c r="S17" s="870"/>
      <c r="T17" s="870"/>
      <c r="U17" s="870"/>
      <c r="V17" s="870"/>
      <c r="W17" s="870"/>
      <c r="X17" s="870"/>
      <c r="Y17" s="870"/>
      <c r="Z17" s="870"/>
      <c r="AA17" s="870"/>
      <c r="AB17" s="870"/>
      <c r="AC17" s="870"/>
      <c r="AD17" s="870"/>
      <c r="AE17" s="870"/>
      <c r="AF17" s="870"/>
      <c r="AG17" s="870"/>
      <c r="AH17" s="870"/>
      <c r="AI17" s="870"/>
      <c r="AJ17" s="870"/>
      <c r="AK17" s="870"/>
      <c r="AL17" s="870"/>
      <c r="AM17" s="870"/>
      <c r="AN17" s="870"/>
      <c r="AO17" s="870"/>
    </row>
    <row r="18" spans="1:41" x14ac:dyDescent="0.2">
      <c r="D18" s="443"/>
      <c r="E18" s="443"/>
      <c r="F18" s="443"/>
    </row>
    <row r="19" spans="1:41" ht="13.5" thickBot="1" x14ac:dyDescent="0.25">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495"/>
      <c r="AL19" s="495"/>
      <c r="AM19" s="495"/>
      <c r="AN19" s="495"/>
      <c r="AO19" s="495"/>
    </row>
    <row r="20" spans="1:41" ht="13.5" thickBot="1" x14ac:dyDescent="0.25">
      <c r="D20" s="466" t="s">
        <v>276</v>
      </c>
      <c r="E20" s="467"/>
      <c r="F20" s="467"/>
      <c r="G20" s="468"/>
      <c r="H20" s="914" t="str">
        <f>IF(ISBLANK('10. Load Forecast'!F22),"",'10. Load Forecast'!F22)</f>
        <v>Initial Application</v>
      </c>
      <c r="I20" s="914"/>
      <c r="J20" s="914"/>
      <c r="K20" s="914"/>
      <c r="L20" s="915"/>
      <c r="M20" s="380"/>
      <c r="N20" s="381"/>
      <c r="O20" s="896" t="s">
        <v>284</v>
      </c>
      <c r="P20" s="896"/>
      <c r="Q20" s="896"/>
      <c r="R20" s="896"/>
      <c r="S20" s="897"/>
      <c r="T20" s="697"/>
      <c r="U20" s="697"/>
      <c r="V20" s="697"/>
      <c r="W20" s="697"/>
      <c r="Z20" s="502"/>
      <c r="AA20" s="896" t="s">
        <v>291</v>
      </c>
      <c r="AB20" s="896"/>
      <c r="AC20" s="896"/>
      <c r="AD20" s="896"/>
      <c r="AE20" s="896"/>
      <c r="AF20" s="896"/>
      <c r="AG20" s="896"/>
      <c r="AH20" s="896"/>
      <c r="AI20" s="897"/>
      <c r="AK20" s="896" t="s">
        <v>295</v>
      </c>
      <c r="AL20" s="896"/>
      <c r="AM20" s="896"/>
      <c r="AN20" s="896"/>
      <c r="AO20" s="897"/>
    </row>
    <row r="21" spans="1:41" ht="13.5" thickBot="1" x14ac:dyDescent="0.25">
      <c r="B21" s="495"/>
      <c r="C21" s="495"/>
      <c r="D21" s="513"/>
      <c r="E21" s="467"/>
      <c r="F21" s="513"/>
      <c r="G21" s="495"/>
      <c r="H21" s="515"/>
      <c r="I21" s="516"/>
      <c r="J21" s="515"/>
      <c r="K21" s="515"/>
      <c r="L21" s="515"/>
      <c r="M21" s="496"/>
      <c r="N21" s="381"/>
      <c r="O21" s="381"/>
      <c r="P21" s="381"/>
      <c r="Q21" s="697"/>
      <c r="R21" s="697"/>
      <c r="S21" s="698"/>
      <c r="T21" s="697"/>
      <c r="U21" s="697"/>
      <c r="V21" s="697"/>
      <c r="W21" s="697"/>
      <c r="Z21" s="380"/>
      <c r="AA21" s="697"/>
      <c r="AB21" s="697"/>
      <c r="AC21" s="697"/>
      <c r="AD21" s="697"/>
      <c r="AE21" s="697"/>
      <c r="AF21" s="697"/>
      <c r="AG21" s="697"/>
      <c r="AH21" s="697"/>
      <c r="AI21" s="698"/>
      <c r="AK21" s="697"/>
      <c r="AL21" s="697"/>
      <c r="AM21" s="697"/>
      <c r="AN21" s="697"/>
      <c r="AO21" s="698"/>
    </row>
    <row r="22" spans="1:41" ht="38.25" customHeight="1" x14ac:dyDescent="0.2">
      <c r="A22" s="380"/>
      <c r="B22" s="413"/>
      <c r="D22" s="896" t="s">
        <v>307</v>
      </c>
      <c r="E22" s="896"/>
      <c r="F22" s="896"/>
      <c r="G22" s="896"/>
      <c r="H22" s="896"/>
      <c r="I22" s="896"/>
      <c r="J22" s="896"/>
      <c r="K22" s="896"/>
      <c r="L22" s="896"/>
      <c r="M22" s="380"/>
      <c r="N22" s="381"/>
      <c r="O22" s="902" t="s">
        <v>359</v>
      </c>
      <c r="P22" s="902"/>
      <c r="Q22" s="902"/>
      <c r="R22" s="902"/>
      <c r="S22" s="903"/>
      <c r="T22" s="700"/>
      <c r="U22" s="899" t="s">
        <v>406</v>
      </c>
      <c r="V22" s="900"/>
      <c r="W22" s="901"/>
      <c r="Z22" s="380"/>
      <c r="AA22" s="697"/>
      <c r="AB22" s="697"/>
      <c r="AC22" s="697"/>
      <c r="AD22" s="697"/>
      <c r="AE22" s="697"/>
      <c r="AF22" s="697"/>
      <c r="AG22" s="697"/>
      <c r="AH22" s="697"/>
      <c r="AI22" s="698"/>
      <c r="AK22" s="697"/>
      <c r="AL22" s="697"/>
      <c r="AM22" s="697"/>
      <c r="AN22" s="697"/>
      <c r="AO22" s="698"/>
    </row>
    <row r="23" spans="1:41" ht="30" customHeight="1" thickBot="1" x14ac:dyDescent="0.25">
      <c r="A23" s="380"/>
      <c r="B23" s="506"/>
      <c r="C23" s="381"/>
      <c r="D23" s="381"/>
      <c r="E23" s="381"/>
      <c r="F23" s="381"/>
      <c r="G23" s="381"/>
      <c r="H23" s="381"/>
      <c r="I23" s="381"/>
      <c r="J23" s="381"/>
      <c r="K23" s="381"/>
      <c r="L23" s="381"/>
      <c r="M23" s="380"/>
      <c r="N23" s="381"/>
      <c r="O23" s="902"/>
      <c r="P23" s="902"/>
      <c r="Q23" s="902"/>
      <c r="R23" s="902"/>
      <c r="S23" s="903"/>
      <c r="T23" s="700"/>
      <c r="U23" s="904" t="s">
        <v>398</v>
      </c>
      <c r="V23" s="905"/>
      <c r="W23" s="906"/>
      <c r="Z23" s="380"/>
      <c r="AI23" s="380"/>
      <c r="AO23" s="380"/>
    </row>
    <row r="24" spans="1:41" ht="15.75" customHeight="1" x14ac:dyDescent="0.2">
      <c r="A24" s="380"/>
      <c r="D24" s="514" t="s">
        <v>270</v>
      </c>
      <c r="E24" s="514"/>
      <c r="F24" s="910" t="s">
        <v>283</v>
      </c>
      <c r="G24" s="381"/>
      <c r="H24" s="910" t="s">
        <v>290</v>
      </c>
      <c r="I24" s="381"/>
      <c r="J24" s="910" t="s">
        <v>273</v>
      </c>
      <c r="K24" s="691"/>
      <c r="L24" s="910" t="s">
        <v>313</v>
      </c>
      <c r="M24" s="380"/>
      <c r="N24" s="381"/>
      <c r="O24" s="910" t="s">
        <v>393</v>
      </c>
      <c r="P24" s="381"/>
      <c r="Q24" s="910" t="s">
        <v>285</v>
      </c>
      <c r="S24" s="894" t="s">
        <v>286</v>
      </c>
      <c r="T24" s="696"/>
      <c r="U24" s="549"/>
      <c r="V24" s="696"/>
      <c r="W24" s="699"/>
      <c r="Y24" s="911" t="s">
        <v>404</v>
      </c>
      <c r="Z24" s="380"/>
      <c r="AA24" s="511" t="str">
        <f>Q24</f>
        <v>Monthly Service Charge</v>
      </c>
      <c r="AB24" s="504"/>
      <c r="AC24" s="505"/>
      <c r="AE24" s="908" t="s">
        <v>294</v>
      </c>
      <c r="AF24" s="881"/>
      <c r="AG24" s="881"/>
      <c r="AH24" s="881"/>
      <c r="AI24" s="909"/>
      <c r="AK24" s="443"/>
      <c r="AO24" s="913" t="s">
        <v>298</v>
      </c>
    </row>
    <row r="25" spans="1:41" x14ac:dyDescent="0.2">
      <c r="A25" s="380"/>
      <c r="D25" s="442"/>
      <c r="E25" s="442"/>
      <c r="F25" s="910"/>
      <c r="H25" s="910"/>
      <c r="J25" s="910"/>
      <c r="K25" s="455"/>
      <c r="L25" s="910"/>
      <c r="M25" s="380"/>
      <c r="N25" s="381"/>
      <c r="O25" s="910"/>
      <c r="P25" s="381"/>
      <c r="Q25" s="910"/>
      <c r="S25" s="894"/>
      <c r="T25" s="696"/>
      <c r="U25" s="549" t="s">
        <v>372</v>
      </c>
      <c r="V25" s="696"/>
      <c r="W25" s="699" t="s">
        <v>373</v>
      </c>
      <c r="Y25" s="912"/>
      <c r="Z25" s="380"/>
      <c r="AA25" s="506"/>
      <c r="AB25" s="381"/>
      <c r="AC25" s="380"/>
      <c r="AE25" s="506"/>
      <c r="AF25" s="381"/>
      <c r="AG25" s="381"/>
      <c r="AH25" s="381"/>
      <c r="AI25" s="380"/>
      <c r="AO25" s="913"/>
    </row>
    <row r="26" spans="1:41" ht="25.5" customHeight="1" x14ac:dyDescent="0.2">
      <c r="A26" s="380"/>
      <c r="D26" s="463" t="s">
        <v>301</v>
      </c>
      <c r="E26" s="442"/>
      <c r="F26" s="910"/>
      <c r="H26" s="910"/>
      <c r="J26" s="910"/>
      <c r="K26" s="455"/>
      <c r="L26" s="910"/>
      <c r="M26" s="380"/>
      <c r="N26" s="381"/>
      <c r="O26" s="910"/>
      <c r="P26" s="381"/>
      <c r="Q26" s="910"/>
      <c r="S26" s="894"/>
      <c r="T26" s="696"/>
      <c r="U26" s="549"/>
      <c r="V26" s="696"/>
      <c r="W26" s="699"/>
      <c r="Y26" s="912"/>
      <c r="Z26" s="380"/>
      <c r="AA26" s="512" t="s">
        <v>293</v>
      </c>
      <c r="AB26" s="381"/>
      <c r="AC26" s="509" t="s">
        <v>292</v>
      </c>
      <c r="AE26" s="512" t="s">
        <v>293</v>
      </c>
      <c r="AF26" s="381"/>
      <c r="AG26" s="381"/>
      <c r="AH26" s="381"/>
      <c r="AI26" s="509" t="s">
        <v>292</v>
      </c>
      <c r="AK26" s="465" t="s">
        <v>296</v>
      </c>
      <c r="AM26" s="453" t="s">
        <v>297</v>
      </c>
      <c r="AN26" s="454"/>
      <c r="AO26" s="913"/>
    </row>
    <row r="27" spans="1:41" x14ac:dyDescent="0.2">
      <c r="A27" s="380"/>
      <c r="M27" s="380"/>
      <c r="N27" s="381"/>
      <c r="O27" s="381"/>
      <c r="P27" s="381"/>
      <c r="S27" s="380"/>
      <c r="T27" s="381"/>
      <c r="U27" s="506"/>
      <c r="V27" s="414"/>
      <c r="W27" s="380"/>
      <c r="X27" s="380"/>
      <c r="Y27" s="382"/>
      <c r="Z27" s="380"/>
      <c r="AA27" s="506"/>
      <c r="AB27" s="381"/>
      <c r="AC27" s="380"/>
      <c r="AE27" s="506"/>
      <c r="AF27" s="381"/>
      <c r="AG27" s="381"/>
      <c r="AH27" s="381"/>
      <c r="AI27" s="380"/>
      <c r="AO27" s="380"/>
    </row>
    <row r="28" spans="1:41" x14ac:dyDescent="0.2">
      <c r="A28" s="380"/>
      <c r="B28">
        <v>1</v>
      </c>
      <c r="D28" s="413" t="str">
        <f>IF(ISBLANK('10. Load Forecast'!D29),"",'10. Load Forecast'!D29)</f>
        <v>Residential</v>
      </c>
      <c r="E28" s="413"/>
      <c r="F28" s="680" t="s">
        <v>273</v>
      </c>
      <c r="H28" s="579">
        <f>IF(ISBLANK($H$20),0,IF($H$20=$AC$4,'10. Load Forecast'!F29,IF($H$20=$AC$5,'10. Load Forecast'!L29,'10. Load Forecast'!R29)))</f>
        <v>40087.583333333314</v>
      </c>
      <c r="I28" s="580"/>
      <c r="J28" s="579">
        <f>IF(ISBLANK($H$20),0,IF($H$20=$AC$4,'10. Load Forecast'!H29,IF($H$20=$AC$5,'10. Load Forecast'!N29,'10. Load Forecast'!T29)))</f>
        <v>353525757.92571801</v>
      </c>
      <c r="K28" s="580"/>
      <c r="L28" s="579">
        <f>IF(ISBLANK($H$20),0,IF($H$20=$AC$4,'10. Load Forecast'!J29,IF($H$20=$AC$5,'10. Load Forecast'!P29,'10. Load Forecast'!V29)))</f>
        <v>0</v>
      </c>
      <c r="M28" s="380"/>
      <c r="N28" s="381"/>
      <c r="O28" s="577">
        <f>IF(ISBLANK('11. Cost_Allocation'!I62),"",'11. Cost_Allocation'!I62)</f>
        <v>17435905.636161584</v>
      </c>
      <c r="P28" s="381"/>
      <c r="Q28" s="464">
        <f>IF(ISBLANK(U28),"",O28*U28)</f>
        <v>17435905.636161584</v>
      </c>
      <c r="S28" s="385">
        <f>IF(Q28="","",O28-Q28)</f>
        <v>0</v>
      </c>
      <c r="T28" s="558"/>
      <c r="U28" s="682">
        <v>1</v>
      </c>
      <c r="V28" s="560"/>
      <c r="W28" s="578">
        <f>IF(ISBLANK(U28),"",1-U28)</f>
        <v>0</v>
      </c>
      <c r="X28" s="380"/>
      <c r="Y28" s="517"/>
      <c r="Z28" s="380"/>
      <c r="AA28" s="507">
        <f>IF(O28="","",IF(H28=0,0,IF(U28=0,0,ROUND(Q28/(H28*12),AC28))))</f>
        <v>36.25</v>
      </c>
      <c r="AB28" s="381"/>
      <c r="AC28" s="685">
        <v>2</v>
      </c>
      <c r="AE28" s="507">
        <f>IF(S28="","",ROUND(IF(F28="kWh",(S28+Y28)/J28,(S28+Y28)/L28),AI28))</f>
        <v>0</v>
      </c>
      <c r="AF28" s="381"/>
      <c r="AG28" s="381" t="str">
        <f t="shared" ref="AG28:AG47" si="0">IF(ISBLANK(F28),"",CONCATENATE("/",F28))</f>
        <v>/kWh</v>
      </c>
      <c r="AH28" s="381"/>
      <c r="AI28" s="685">
        <v>4</v>
      </c>
      <c r="AK28" s="462">
        <f>IF(AA28="",0,AA28*H28*12)</f>
        <v>17438098.749999993</v>
      </c>
      <c r="AM28" s="563">
        <f>ROUND(IF(AE28="",0,IF(F28="kWh",J28*AE28,IF(F28="kW",IF(AE28="",0,AE28*L28)))),AI28)</f>
        <v>0</v>
      </c>
      <c r="AO28" s="497">
        <f>ROUND(AK28+AM28-Y28,2)</f>
        <v>17438098.75</v>
      </c>
    </row>
    <row r="29" spans="1:41" x14ac:dyDescent="0.2">
      <c r="A29" s="380"/>
      <c r="B29">
        <v>2</v>
      </c>
      <c r="D29" s="413" t="str">
        <f>IF(ISBLANK('10. Load Forecast'!D30),"",'10. Load Forecast'!D30)</f>
        <v>GS &lt; 50 kW</v>
      </c>
      <c r="E29" s="413"/>
      <c r="F29" s="680" t="s">
        <v>273</v>
      </c>
      <c r="H29" s="579">
        <f>IF(ISBLANK($H$20),0,IF($H$20=$AC$4,'10. Load Forecast'!F30,IF($H$20=$AC$5,'10. Load Forecast'!L30,'10. Load Forecast'!R30)))</f>
        <v>2989.9091003503345</v>
      </c>
      <c r="I29" s="580"/>
      <c r="J29" s="579">
        <f>IF(ISBLANK($H$20),0,IF($H$20=$AC$4,'10. Load Forecast'!H30,IF($H$20=$AC$5,'10. Load Forecast'!N30,'10. Load Forecast'!T30)))</f>
        <v>87960137.322178766</v>
      </c>
      <c r="K29" s="580"/>
      <c r="L29" s="579">
        <f>IF(ISBLANK($H$20),0,IF($H$20=$AC$4,'10. Load Forecast'!J30,IF($H$20=$AC$5,'10. Load Forecast'!P30,'10. Load Forecast'!V30)))</f>
        <v>0</v>
      </c>
      <c r="M29" s="380"/>
      <c r="N29" s="381"/>
      <c r="O29" s="577">
        <f>IF(ISBLANK('11. Cost_Allocation'!I63),"",'11. Cost_Allocation'!I63)</f>
        <v>2869892.9296803367</v>
      </c>
      <c r="P29" s="381"/>
      <c r="Q29" s="464">
        <f t="shared" ref="Q29:Q47" si="1">IF(ISBLANK(U29),"",O29*U29)</f>
        <v>800099.67525374971</v>
      </c>
      <c r="S29" s="385">
        <f t="shared" ref="S29:S47" si="2">IF(Q29="","",O29-Q29)</f>
        <v>2069793.2544265869</v>
      </c>
      <c r="T29" s="558"/>
      <c r="U29" s="682">
        <v>0.27879077542550301</v>
      </c>
      <c r="V29" s="560"/>
      <c r="W29" s="578">
        <f t="shared" ref="W29:W47" si="3">IF(ISBLANK(U29),"",1-U29)</f>
        <v>0.72120922457449699</v>
      </c>
      <c r="X29" s="380"/>
      <c r="Y29" s="517"/>
      <c r="Z29" s="380"/>
      <c r="AA29" s="507">
        <f t="shared" ref="AA29:AA47" si="4">IF(O29="","",IF(H29=0,0,IF(U29=0,0,ROUND(Q29/(H29*12),AC29))))</f>
        <v>22.3</v>
      </c>
      <c r="AB29" s="381"/>
      <c r="AC29" s="597">
        <f>AC28</f>
        <v>2</v>
      </c>
      <c r="AE29" s="507">
        <f t="shared" ref="AE29:AE47" si="5">IF(S29="","",ROUND(IF(F29="kWh",(S29+Y29)/J29,(S29+Y29)/L29),AI29))</f>
        <v>2.35E-2</v>
      </c>
      <c r="AF29" s="381"/>
      <c r="AG29" s="381" t="str">
        <f t="shared" si="0"/>
        <v>/kWh</v>
      </c>
      <c r="AH29" s="381"/>
      <c r="AI29" s="597">
        <f>AI28</f>
        <v>4</v>
      </c>
      <c r="AK29" s="462">
        <f t="shared" ref="AK29:AK47" si="6">IF(AA29="",0,AA29*H29*12)</f>
        <v>800099.67525374959</v>
      </c>
      <c r="AM29" s="563">
        <f t="shared" ref="AM29:AM47" si="7">ROUND(IF(AE29="",0,IF(F29="kWh",J29*AE29,IF(F29="kW",IF(AE29="",0,AE29*L29)))),AI29)</f>
        <v>2067063.2271</v>
      </c>
      <c r="AO29" s="497">
        <f t="shared" ref="AO29:AO47" si="8">ROUND(AK29+AM29-Y29,2)</f>
        <v>2867162.9</v>
      </c>
    </row>
    <row r="30" spans="1:41" x14ac:dyDescent="0.2">
      <c r="A30" s="380"/>
      <c r="B30">
        <v>3</v>
      </c>
      <c r="D30" s="413" t="str">
        <f>IF(ISBLANK('10. Load Forecast'!D31),"",'10. Load Forecast'!D31)</f>
        <v>GS &gt;50 to 999 kW</v>
      </c>
      <c r="E30" s="413"/>
      <c r="F30" s="680" t="s">
        <v>486</v>
      </c>
      <c r="H30" s="579">
        <f>IF(ISBLANK($H$20),0,IF($H$20=$AC$4,'10. Load Forecast'!F31,IF($H$20=$AC$5,'10. Load Forecast'!L31,'10. Load Forecast'!R31)))</f>
        <v>343.80146517608017</v>
      </c>
      <c r="I30" s="580"/>
      <c r="J30" s="579">
        <f>IF(ISBLANK($H$20),0,IF($H$20=$AC$4,'10. Load Forecast'!H31,IF($H$20=$AC$5,'10. Load Forecast'!N31,'10. Load Forecast'!T31)))</f>
        <v>0</v>
      </c>
      <c r="K30" s="580"/>
      <c r="L30" s="579">
        <f>IF(ISBLANK($H$20),0,IF($H$20=$AC$4,'10. Load Forecast'!J31,IF($H$20=$AC$5,'10. Load Forecast'!P31,'10. Load Forecast'!V31)))</f>
        <v>595235.629297668</v>
      </c>
      <c r="M30" s="380"/>
      <c r="N30" s="381"/>
      <c r="O30" s="577">
        <f>IF(ISBLANK('11. Cost_Allocation'!I64),"",'11. Cost_Allocation'!I64)</f>
        <v>2807874.6240710258</v>
      </c>
      <c r="P30" s="381"/>
      <c r="Q30" s="464">
        <f t="shared" si="1"/>
        <v>434386.27522067388</v>
      </c>
      <c r="S30" s="385">
        <f t="shared" si="2"/>
        <v>2373488.3488503518</v>
      </c>
      <c r="T30" s="558"/>
      <c r="U30" s="682">
        <v>0.15470287437224475</v>
      </c>
      <c r="V30" s="560"/>
      <c r="W30" s="578">
        <f t="shared" si="3"/>
        <v>0.84529712562775527</v>
      </c>
      <c r="X30" s="380"/>
      <c r="Y30" s="710">
        <v>42807.027556495435</v>
      </c>
      <c r="Z30" s="380"/>
      <c r="AA30" s="507">
        <f t="shared" si="4"/>
        <v>105.29</v>
      </c>
      <c r="AB30" s="381"/>
      <c r="AC30" s="597">
        <f t="shared" ref="AC30:AC47" si="9">AC29</f>
        <v>2</v>
      </c>
      <c r="AE30" s="507">
        <f t="shared" si="5"/>
        <v>4.0594000000000001</v>
      </c>
      <c r="AF30" s="381"/>
      <c r="AG30" s="381" t="str">
        <f t="shared" si="0"/>
        <v>/kW</v>
      </c>
      <c r="AH30" s="381"/>
      <c r="AI30" s="597">
        <f t="shared" ref="AI30:AI47" si="10">AI29</f>
        <v>4</v>
      </c>
      <c r="AK30" s="462">
        <f t="shared" si="6"/>
        <v>434386.27522067382</v>
      </c>
      <c r="AM30" s="563">
        <f t="shared" si="7"/>
        <v>2416299.5136000002</v>
      </c>
      <c r="AO30" s="497">
        <f t="shared" si="8"/>
        <v>2807878.76</v>
      </c>
    </row>
    <row r="31" spans="1:41" x14ac:dyDescent="0.2">
      <c r="A31" s="380"/>
      <c r="B31">
        <v>4</v>
      </c>
      <c r="D31" s="413" t="str">
        <f>IF(ISBLANK('10. Load Forecast'!D32),"",'10. Load Forecast'!D32)</f>
        <v>GS &gt;1000 to 4999 kW</v>
      </c>
      <c r="E31" s="413"/>
      <c r="F31" s="680" t="s">
        <v>486</v>
      </c>
      <c r="H31" s="579">
        <f>IF(ISBLANK($H$20),0,IF($H$20=$AC$4,'10. Load Forecast'!F32,IF($H$20=$AC$5,'10. Load Forecast'!L32,'10. Load Forecast'!R32)))</f>
        <v>12</v>
      </c>
      <c r="I31" s="580"/>
      <c r="J31" s="579">
        <f>IF(ISBLANK($H$20),0,IF($H$20=$AC$4,'10. Load Forecast'!H32,IF($H$20=$AC$5,'10. Load Forecast'!N32,'10. Load Forecast'!T32)))</f>
        <v>0</v>
      </c>
      <c r="K31" s="580"/>
      <c r="L31" s="579">
        <f>IF(ISBLANK($H$20),0,IF($H$20=$AC$4,'10. Load Forecast'!J32,IF($H$20=$AC$5,'10. Load Forecast'!P32,'10. Load Forecast'!V32)))</f>
        <v>225593.88847941163</v>
      </c>
      <c r="M31" s="380"/>
      <c r="N31" s="381"/>
      <c r="O31" s="577">
        <f>IF(ISBLANK('11. Cost_Allocation'!I65),"",'11. Cost_Allocation'!I65)</f>
        <v>619279.14583721466</v>
      </c>
      <c r="P31" s="381"/>
      <c r="Q31" s="464">
        <f t="shared" si="1"/>
        <v>119203.19999999998</v>
      </c>
      <c r="S31" s="385">
        <f t="shared" si="2"/>
        <v>500075.94583721471</v>
      </c>
      <c r="T31" s="558"/>
      <c r="U31" s="682">
        <v>0.19248702431089784</v>
      </c>
      <c r="V31" s="560"/>
      <c r="W31" s="578">
        <f t="shared" si="3"/>
        <v>0.80751297568910219</v>
      </c>
      <c r="X31" s="380"/>
      <c r="Y31" s="710">
        <v>118660.07933805052</v>
      </c>
      <c r="Z31" s="380"/>
      <c r="AA31" s="507">
        <f t="shared" si="4"/>
        <v>827.8</v>
      </c>
      <c r="AB31" s="381"/>
      <c r="AC31" s="597">
        <f t="shared" si="9"/>
        <v>2</v>
      </c>
      <c r="AE31" s="507">
        <f t="shared" si="5"/>
        <v>2.7427000000000001</v>
      </c>
      <c r="AF31" s="381"/>
      <c r="AG31" s="381" t="str">
        <f t="shared" si="0"/>
        <v>/kW</v>
      </c>
      <c r="AH31" s="381"/>
      <c r="AI31" s="597">
        <f t="shared" si="10"/>
        <v>4</v>
      </c>
      <c r="AK31" s="462">
        <f t="shared" si="6"/>
        <v>119203.19999999998</v>
      </c>
      <c r="AM31" s="563">
        <f t="shared" si="7"/>
        <v>618736.35789999994</v>
      </c>
      <c r="AO31" s="497">
        <f t="shared" si="8"/>
        <v>619279.48</v>
      </c>
    </row>
    <row r="32" spans="1:41" x14ac:dyDescent="0.2">
      <c r="A32" s="380"/>
      <c r="B32">
        <v>5</v>
      </c>
      <c r="D32" s="413" t="str">
        <f>IF(ISBLANK('10. Load Forecast'!D33),"",'10. Load Forecast'!D33)</f>
        <v>Large Use</v>
      </c>
      <c r="E32" s="413"/>
      <c r="F32" s="680" t="s">
        <v>486</v>
      </c>
      <c r="H32" s="579">
        <f>IF(ISBLANK($H$20),0,IF($H$20=$AC$4,'10. Load Forecast'!F33,IF($H$20=$AC$5,'10. Load Forecast'!L33,'10. Load Forecast'!R33)))</f>
        <v>3</v>
      </c>
      <c r="I32" s="580"/>
      <c r="J32" s="579">
        <f>IF(ISBLANK($H$20),0,IF($H$20=$AC$4,'10. Load Forecast'!H33,IF($H$20=$AC$5,'10. Load Forecast'!N33,'10. Load Forecast'!T33)))</f>
        <v>0</v>
      </c>
      <c r="K32" s="580"/>
      <c r="L32" s="579">
        <f>IF(ISBLANK($H$20),0,IF($H$20=$AC$4,'10. Load Forecast'!J33,IF($H$20=$AC$5,'10. Load Forecast'!P33,'10. Load Forecast'!V33)))</f>
        <v>260034.12639671177</v>
      </c>
      <c r="M32" s="380"/>
      <c r="N32" s="381"/>
      <c r="O32" s="577">
        <f>IF(ISBLANK('11. Cost_Allocation'!I66),"",'11. Cost_Allocation'!I66)</f>
        <v>633628.04561318038</v>
      </c>
      <c r="P32" s="381"/>
      <c r="Q32" s="464">
        <f t="shared" si="1"/>
        <v>119003.76</v>
      </c>
      <c r="S32" s="385">
        <f t="shared" si="2"/>
        <v>514624.28561318037</v>
      </c>
      <c r="T32" s="558"/>
      <c r="U32" s="682">
        <v>0.18781327755913421</v>
      </c>
      <c r="V32" s="560"/>
      <c r="W32" s="578">
        <f t="shared" si="3"/>
        <v>0.81218672244086576</v>
      </c>
      <c r="X32" s="380"/>
      <c r="Y32" s="517"/>
      <c r="Z32" s="380"/>
      <c r="AA32" s="507">
        <f t="shared" si="4"/>
        <v>3305.66</v>
      </c>
      <c r="AB32" s="381"/>
      <c r="AC32" s="597">
        <f t="shared" si="9"/>
        <v>2</v>
      </c>
      <c r="AE32" s="507">
        <f t="shared" si="5"/>
        <v>1.9791000000000001</v>
      </c>
      <c r="AF32" s="381"/>
      <c r="AG32" s="381" t="str">
        <f t="shared" si="0"/>
        <v>/kW</v>
      </c>
      <c r="AH32" s="381"/>
      <c r="AI32" s="597">
        <f t="shared" si="10"/>
        <v>4</v>
      </c>
      <c r="AK32" s="462">
        <f t="shared" si="6"/>
        <v>119003.76</v>
      </c>
      <c r="AM32" s="563">
        <f t="shared" si="7"/>
        <v>514633.53960000002</v>
      </c>
      <c r="AO32" s="497">
        <f t="shared" si="8"/>
        <v>633637.30000000005</v>
      </c>
    </row>
    <row r="33" spans="1:43" x14ac:dyDescent="0.2">
      <c r="A33" s="380"/>
      <c r="B33">
        <v>6</v>
      </c>
      <c r="D33" s="413" t="str">
        <f>IF(ISBLANK('10. Load Forecast'!D34),"",'10. Load Forecast'!D34)</f>
        <v>Street Lighting</v>
      </c>
      <c r="E33" s="413"/>
      <c r="F33" s="680" t="s">
        <v>486</v>
      </c>
      <c r="H33" s="579">
        <f>IF(ISBLANK($H$20),0,IF($H$20=$AC$4,'10. Load Forecast'!F34,IF($H$20=$AC$5,'10. Load Forecast'!L34,'10. Load Forecast'!R34)))</f>
        <v>2919.41159236661</v>
      </c>
      <c r="I33" s="580"/>
      <c r="J33" s="579">
        <f>IF(ISBLANK($H$20),0,IF($H$20=$AC$4,'10. Load Forecast'!H34,IF($H$20=$AC$5,'10. Load Forecast'!N34,'10. Load Forecast'!T34)))</f>
        <v>0</v>
      </c>
      <c r="K33" s="580"/>
      <c r="L33" s="579">
        <f>IF(ISBLANK($H$20),0,IF($H$20=$AC$4,'10. Load Forecast'!J34,IF($H$20=$AC$5,'10. Load Forecast'!P34,'10. Load Forecast'!V34)))</f>
        <v>14179.063705514967</v>
      </c>
      <c r="M33" s="380"/>
      <c r="N33" s="381"/>
      <c r="O33" s="577">
        <f>IF(ISBLANK('11. Cost_Allocation'!I67),"",'11. Cost_Allocation'!I67)</f>
        <v>315727.14760504168</v>
      </c>
      <c r="P33" s="381"/>
      <c r="Q33" s="464">
        <f t="shared" si="1"/>
        <v>113857.05210229779</v>
      </c>
      <c r="S33" s="385">
        <f t="shared" si="2"/>
        <v>201870.0955027439</v>
      </c>
      <c r="T33" s="558"/>
      <c r="U33" s="682">
        <v>0.3606185054594262</v>
      </c>
      <c r="V33" s="560"/>
      <c r="W33" s="578">
        <f t="shared" si="3"/>
        <v>0.6393814945405738</v>
      </c>
      <c r="X33" s="380"/>
      <c r="Y33" s="517"/>
      <c r="Z33" s="380"/>
      <c r="AA33" s="507">
        <f t="shared" si="4"/>
        <v>3.25</v>
      </c>
      <c r="AB33" s="381"/>
      <c r="AC33" s="597">
        <f t="shared" si="9"/>
        <v>2</v>
      </c>
      <c r="AE33" s="507">
        <f t="shared" si="5"/>
        <v>14.2372</v>
      </c>
      <c r="AF33" s="381"/>
      <c r="AG33" s="381" t="str">
        <f t="shared" si="0"/>
        <v>/kW</v>
      </c>
      <c r="AH33" s="381"/>
      <c r="AI33" s="597">
        <f t="shared" si="10"/>
        <v>4</v>
      </c>
      <c r="AK33" s="462">
        <f t="shared" si="6"/>
        <v>113857.05210229778</v>
      </c>
      <c r="AM33" s="563">
        <f t="shared" si="7"/>
        <v>201870.16579999999</v>
      </c>
      <c r="AO33" s="497">
        <f t="shared" si="8"/>
        <v>315727.21999999997</v>
      </c>
    </row>
    <row r="34" spans="1:43" x14ac:dyDescent="0.2">
      <c r="A34" s="380"/>
      <c r="B34">
        <v>7</v>
      </c>
      <c r="D34" s="413" t="str">
        <f>IF(ISBLANK('10. Load Forecast'!D35),"",'10. Load Forecast'!D35)</f>
        <v>Sentinel Lighting</v>
      </c>
      <c r="E34" s="413"/>
      <c r="F34" s="680" t="s">
        <v>486</v>
      </c>
      <c r="H34" s="579">
        <f>IF(ISBLANK($H$20),0,IF($H$20=$AC$4,'10. Load Forecast'!F35,IF($H$20=$AC$5,'10. Load Forecast'!L35,'10. Load Forecast'!R35)))</f>
        <v>231.19110332107795</v>
      </c>
      <c r="I34" s="580"/>
      <c r="J34" s="579">
        <f>IF(ISBLANK($H$20),0,IF($H$20=$AC$4,'10. Load Forecast'!H35,IF($H$20=$AC$5,'10. Load Forecast'!N35,'10. Load Forecast'!T35)))</f>
        <v>0</v>
      </c>
      <c r="K34" s="580"/>
      <c r="L34" s="579">
        <f>IF(ISBLANK($H$20),0,IF($H$20=$AC$4,'10. Load Forecast'!J35,IF($H$20=$AC$5,'10. Load Forecast'!P35,'10. Load Forecast'!V35)))</f>
        <v>377.84475452316417</v>
      </c>
      <c r="M34" s="380"/>
      <c r="N34" s="381"/>
      <c r="O34" s="577">
        <f>IF(ISBLANK('11. Cost_Allocation'!I68),"",'11. Cost_Allocation'!I68)</f>
        <v>36528.2751389572</v>
      </c>
      <c r="P34" s="381"/>
      <c r="Q34" s="464">
        <f t="shared" si="1"/>
        <v>17977.420194247024</v>
      </c>
      <c r="S34" s="385">
        <f t="shared" si="2"/>
        <v>18550.854944710176</v>
      </c>
      <c r="T34" s="558"/>
      <c r="U34" s="682">
        <v>0.49215080990983356</v>
      </c>
      <c r="V34" s="560"/>
      <c r="W34" s="578">
        <f t="shared" si="3"/>
        <v>0.50784919009016649</v>
      </c>
      <c r="X34" s="380"/>
      <c r="Y34" s="517"/>
      <c r="Z34" s="380"/>
      <c r="AA34" s="507">
        <f t="shared" si="4"/>
        <v>6.48</v>
      </c>
      <c r="AB34" s="381"/>
      <c r="AC34" s="597">
        <f t="shared" si="9"/>
        <v>2</v>
      </c>
      <c r="AE34" s="507">
        <f t="shared" si="5"/>
        <v>49.096499999999999</v>
      </c>
      <c r="AF34" s="381"/>
      <c r="AG34" s="381" t="str">
        <f t="shared" si="0"/>
        <v>/kW</v>
      </c>
      <c r="AH34" s="381"/>
      <c r="AI34" s="597">
        <f t="shared" si="10"/>
        <v>4</v>
      </c>
      <c r="AK34" s="462">
        <f t="shared" si="6"/>
        <v>17977.420194247024</v>
      </c>
      <c r="AM34" s="563">
        <f t="shared" si="7"/>
        <v>18550.855</v>
      </c>
      <c r="AO34" s="497">
        <f t="shared" si="8"/>
        <v>36528.28</v>
      </c>
    </row>
    <row r="35" spans="1:43" x14ac:dyDescent="0.2">
      <c r="A35" s="380"/>
      <c r="B35">
        <v>8</v>
      </c>
      <c r="D35" s="413" t="str">
        <f>IF(ISBLANK('10. Load Forecast'!D36),"",'10. Load Forecast'!D36)</f>
        <v>Unmetered and Scattered</v>
      </c>
      <c r="E35" s="413"/>
      <c r="F35" s="680" t="s">
        <v>273</v>
      </c>
      <c r="H35" s="579">
        <f>IF(ISBLANK($H$20),0,IF($H$20=$AC$4,'10. Load Forecast'!F36,IF($H$20=$AC$5,'10. Load Forecast'!L36,'10. Load Forecast'!R36)))</f>
        <v>222.86475388975543</v>
      </c>
      <c r="I35" s="580"/>
      <c r="J35" s="579">
        <f>IF(ISBLANK($H$20),0,IF($H$20=$AC$4,'10. Load Forecast'!H36,IF($H$20=$AC$5,'10. Load Forecast'!N36,'10. Load Forecast'!T36)))</f>
        <v>1067791.2606439681</v>
      </c>
      <c r="K35" s="580"/>
      <c r="L35" s="579">
        <f>IF(ISBLANK($H$20),0,IF($H$20=$AC$4,'10. Load Forecast'!J36,IF($H$20=$AC$5,'10. Load Forecast'!P36,'10. Load Forecast'!V36)))</f>
        <v>0</v>
      </c>
      <c r="M35" s="380"/>
      <c r="N35" s="381"/>
      <c r="O35" s="577">
        <f>IF(ISBLANK('11. Cost_Allocation'!I69),"",'11. Cost_Allocation'!I69)</f>
        <v>52510.35262252418</v>
      </c>
      <c r="P35" s="381"/>
      <c r="Q35" s="464">
        <f t="shared" si="1"/>
        <v>28428.628006177205</v>
      </c>
      <c r="S35" s="385">
        <f t="shared" si="2"/>
        <v>24081.724616346975</v>
      </c>
      <c r="T35" s="558"/>
      <c r="U35" s="682">
        <v>0.54139091791173422</v>
      </c>
      <c r="V35" s="560"/>
      <c r="W35" s="578">
        <f t="shared" si="3"/>
        <v>0.45860908208826578</v>
      </c>
      <c r="X35" s="380"/>
      <c r="Y35" s="517"/>
      <c r="Z35" s="380"/>
      <c r="AA35" s="507">
        <f t="shared" si="4"/>
        <v>10.63</v>
      </c>
      <c r="AB35" s="381"/>
      <c r="AC35" s="597">
        <f t="shared" si="9"/>
        <v>2</v>
      </c>
      <c r="AE35" s="507">
        <f t="shared" si="5"/>
        <v>2.2599999999999999E-2</v>
      </c>
      <c r="AF35" s="381"/>
      <c r="AG35" s="381" t="str">
        <f t="shared" si="0"/>
        <v>/kWh</v>
      </c>
      <c r="AH35" s="381"/>
      <c r="AI35" s="597">
        <f t="shared" si="10"/>
        <v>4</v>
      </c>
      <c r="AK35" s="462">
        <f t="shared" si="6"/>
        <v>28428.628006177205</v>
      </c>
      <c r="AM35" s="563">
        <f t="shared" si="7"/>
        <v>24132.0825</v>
      </c>
      <c r="AO35" s="497">
        <f t="shared" si="8"/>
        <v>52560.71</v>
      </c>
    </row>
    <row r="36" spans="1:43" x14ac:dyDescent="0.2">
      <c r="A36" s="380"/>
      <c r="B36">
        <v>9</v>
      </c>
      <c r="D36" s="413" t="str">
        <f>IF(ISBLANK('10. Load Forecast'!D37),"",'10. Load Forecast'!D37)</f>
        <v/>
      </c>
      <c r="E36" s="413"/>
      <c r="F36" s="680"/>
      <c r="H36" s="579">
        <f>IF(ISBLANK($H$20),0,IF($H$20=$AC$4,'10. Load Forecast'!F37,IF($H$20=$AC$5,'10. Load Forecast'!L37,'10. Load Forecast'!R37)))</f>
        <v>0</v>
      </c>
      <c r="I36" s="580"/>
      <c r="J36" s="579">
        <f>IF(ISBLANK($H$20),0,IF($H$20=$AC$4,'10. Load Forecast'!H37,IF($H$20=$AC$5,'10. Load Forecast'!N37,'10. Load Forecast'!T37)))</f>
        <v>0</v>
      </c>
      <c r="K36" s="580"/>
      <c r="L36" s="579">
        <f>IF(ISBLANK($H$20),0,IF($H$20=$AC$4,'10. Load Forecast'!J37,IF($H$20=$AC$5,'10. Load Forecast'!P37,'10. Load Forecast'!V37)))</f>
        <v>0</v>
      </c>
      <c r="M36" s="380"/>
      <c r="N36" s="381"/>
      <c r="O36" s="577" t="str">
        <f>IF(ISBLANK('11. Cost_Allocation'!I70),"",'11. Cost_Allocation'!I70)</f>
        <v/>
      </c>
      <c r="P36" s="381"/>
      <c r="Q36" s="464" t="str">
        <f t="shared" si="1"/>
        <v/>
      </c>
      <c r="S36" s="385" t="str">
        <f t="shared" si="2"/>
        <v/>
      </c>
      <c r="T36" s="558"/>
      <c r="U36" s="683"/>
      <c r="V36" s="560"/>
      <c r="W36" s="578" t="str">
        <f t="shared" si="3"/>
        <v/>
      </c>
      <c r="X36" s="380"/>
      <c r="Y36" s="517"/>
      <c r="Z36" s="380"/>
      <c r="AA36" s="507" t="str">
        <f t="shared" si="4"/>
        <v/>
      </c>
      <c r="AB36" s="381"/>
      <c r="AC36" s="597">
        <f t="shared" si="9"/>
        <v>2</v>
      </c>
      <c r="AE36" s="507" t="str">
        <f t="shared" si="5"/>
        <v/>
      </c>
      <c r="AF36" s="381"/>
      <c r="AG36" s="381" t="str">
        <f t="shared" si="0"/>
        <v/>
      </c>
      <c r="AH36" s="381"/>
      <c r="AI36" s="597">
        <f t="shared" si="10"/>
        <v>4</v>
      </c>
      <c r="AK36" s="462">
        <f t="shared" si="6"/>
        <v>0</v>
      </c>
      <c r="AM36" s="563">
        <f t="shared" si="7"/>
        <v>0</v>
      </c>
      <c r="AO36" s="497">
        <f t="shared" si="8"/>
        <v>0</v>
      </c>
    </row>
    <row r="37" spans="1:43" x14ac:dyDescent="0.2">
      <c r="A37" s="380"/>
      <c r="B37">
        <v>10</v>
      </c>
      <c r="D37" s="413" t="str">
        <f>IF(ISBLANK('10. Load Forecast'!D38),"",'10. Load Forecast'!D38)</f>
        <v/>
      </c>
      <c r="E37" s="413"/>
      <c r="F37" s="680"/>
      <c r="H37" s="579">
        <f>IF(ISBLANK($H$20),0,IF($H$20=$AC$4,'10. Load Forecast'!F38,IF($H$20=$AC$5,'10. Load Forecast'!L38,'10. Load Forecast'!R38)))</f>
        <v>0</v>
      </c>
      <c r="I37" s="580"/>
      <c r="J37" s="579">
        <f>IF(ISBLANK($H$20),0,IF($H$20=$AC$4,'10. Load Forecast'!H38,IF($H$20=$AC$5,'10. Load Forecast'!N38,'10. Load Forecast'!T38)))</f>
        <v>0</v>
      </c>
      <c r="K37" s="580"/>
      <c r="L37" s="579">
        <f>IF(ISBLANK($H$20),0,IF($H$20=$AC$4,'10. Load Forecast'!J38,IF($H$20=$AC$5,'10. Load Forecast'!P38,'10. Load Forecast'!V38)))</f>
        <v>0</v>
      </c>
      <c r="M37" s="380"/>
      <c r="N37" s="381"/>
      <c r="O37" s="577" t="str">
        <f>IF(ISBLANK('11. Cost_Allocation'!I71),"",'11. Cost_Allocation'!I71)</f>
        <v/>
      </c>
      <c r="P37" s="381"/>
      <c r="Q37" s="464" t="str">
        <f t="shared" si="1"/>
        <v/>
      </c>
      <c r="S37" s="385" t="str">
        <f t="shared" si="2"/>
        <v/>
      </c>
      <c r="T37" s="558"/>
      <c r="U37" s="683"/>
      <c r="V37" s="560"/>
      <c r="W37" s="578" t="str">
        <f t="shared" si="3"/>
        <v/>
      </c>
      <c r="X37" s="380"/>
      <c r="Y37" s="517"/>
      <c r="Z37" s="380"/>
      <c r="AA37" s="507" t="str">
        <f t="shared" si="4"/>
        <v/>
      </c>
      <c r="AB37" s="381"/>
      <c r="AC37" s="597">
        <f t="shared" si="9"/>
        <v>2</v>
      </c>
      <c r="AE37" s="507" t="str">
        <f t="shared" si="5"/>
        <v/>
      </c>
      <c r="AF37" s="381"/>
      <c r="AG37" s="381" t="str">
        <f t="shared" si="0"/>
        <v/>
      </c>
      <c r="AH37" s="381"/>
      <c r="AI37" s="597">
        <f t="shared" si="10"/>
        <v>4</v>
      </c>
      <c r="AK37" s="462">
        <f t="shared" si="6"/>
        <v>0</v>
      </c>
      <c r="AM37" s="563">
        <f t="shared" si="7"/>
        <v>0</v>
      </c>
      <c r="AO37" s="497">
        <f t="shared" si="8"/>
        <v>0</v>
      </c>
    </row>
    <row r="38" spans="1:43" x14ac:dyDescent="0.2">
      <c r="A38" s="380"/>
      <c r="B38">
        <v>11</v>
      </c>
      <c r="D38" s="413" t="str">
        <f>IF(ISBLANK('10. Load Forecast'!D39),"",'10. Load Forecast'!D39)</f>
        <v/>
      </c>
      <c r="E38" s="413"/>
      <c r="F38" s="680"/>
      <c r="H38" s="579">
        <f>IF(ISBLANK($H$20),0,IF($H$20=$AC$4,'10. Load Forecast'!F39,IF($H$20=$AC$5,'10. Load Forecast'!L39,'10. Load Forecast'!R39)))</f>
        <v>0</v>
      </c>
      <c r="I38" s="580"/>
      <c r="J38" s="579">
        <f>IF(ISBLANK($H$20),0,IF($H$20=$AC$4,'10. Load Forecast'!H39,IF($H$20=$AC$5,'10. Load Forecast'!N39,'10. Load Forecast'!T39)))</f>
        <v>0</v>
      </c>
      <c r="K38" s="580"/>
      <c r="L38" s="579">
        <f>IF(ISBLANK($H$20),0,IF($H$20=$AC$4,'10. Load Forecast'!J39,IF($H$20=$AC$5,'10. Load Forecast'!P39,'10. Load Forecast'!V39)))</f>
        <v>0</v>
      </c>
      <c r="M38" s="380"/>
      <c r="N38" s="381"/>
      <c r="O38" s="577" t="str">
        <f>IF(ISBLANK('11. Cost_Allocation'!I72),"",'11. Cost_Allocation'!I72)</f>
        <v/>
      </c>
      <c r="P38" s="381"/>
      <c r="Q38" s="464" t="str">
        <f t="shared" si="1"/>
        <v/>
      </c>
      <c r="S38" s="385" t="str">
        <f t="shared" si="2"/>
        <v/>
      </c>
      <c r="T38" s="558"/>
      <c r="U38" s="683"/>
      <c r="V38" s="560"/>
      <c r="W38" s="578" t="str">
        <f t="shared" si="3"/>
        <v/>
      </c>
      <c r="X38" s="380"/>
      <c r="Y38" s="517"/>
      <c r="Z38" s="380"/>
      <c r="AA38" s="507" t="str">
        <f t="shared" si="4"/>
        <v/>
      </c>
      <c r="AB38" s="381"/>
      <c r="AC38" s="597">
        <f t="shared" si="9"/>
        <v>2</v>
      </c>
      <c r="AE38" s="507" t="str">
        <f t="shared" si="5"/>
        <v/>
      </c>
      <c r="AF38" s="381"/>
      <c r="AG38" s="381" t="str">
        <f t="shared" si="0"/>
        <v/>
      </c>
      <c r="AH38" s="381"/>
      <c r="AI38" s="597">
        <f t="shared" si="10"/>
        <v>4</v>
      </c>
      <c r="AK38" s="462">
        <f t="shared" si="6"/>
        <v>0</v>
      </c>
      <c r="AM38" s="563">
        <f t="shared" si="7"/>
        <v>0</v>
      </c>
      <c r="AO38" s="497">
        <f t="shared" si="8"/>
        <v>0</v>
      </c>
    </row>
    <row r="39" spans="1:43" x14ac:dyDescent="0.2">
      <c r="A39" s="380"/>
      <c r="B39">
        <v>12</v>
      </c>
      <c r="D39" s="413" t="str">
        <f>IF(ISBLANK('10. Load Forecast'!D40),"",'10. Load Forecast'!D40)</f>
        <v/>
      </c>
      <c r="E39" s="413"/>
      <c r="F39" s="680"/>
      <c r="H39" s="579">
        <f>IF(ISBLANK($H$20),0,IF($H$20=$AC$4,'10. Load Forecast'!F40,IF($H$20=$AC$5,'10. Load Forecast'!L40,'10. Load Forecast'!R40)))</f>
        <v>0</v>
      </c>
      <c r="I39" s="580"/>
      <c r="J39" s="579">
        <f>IF(ISBLANK($H$20),0,IF($H$20=$AC$4,'10. Load Forecast'!H40,IF($H$20=$AC$5,'10. Load Forecast'!N40,'10. Load Forecast'!T40)))</f>
        <v>0</v>
      </c>
      <c r="K39" s="580"/>
      <c r="L39" s="579">
        <f>IF(ISBLANK($H$20),0,IF($H$20=$AC$4,'10. Load Forecast'!J40,IF($H$20=$AC$5,'10. Load Forecast'!P40,'10. Load Forecast'!V40)))</f>
        <v>0</v>
      </c>
      <c r="M39" s="380"/>
      <c r="N39" s="381"/>
      <c r="O39" s="577" t="str">
        <f>IF(ISBLANK('11. Cost_Allocation'!I73),"",'11. Cost_Allocation'!I73)</f>
        <v/>
      </c>
      <c r="P39" s="381"/>
      <c r="Q39" s="464" t="str">
        <f t="shared" si="1"/>
        <v/>
      </c>
      <c r="S39" s="385" t="str">
        <f t="shared" si="2"/>
        <v/>
      </c>
      <c r="T39" s="558"/>
      <c r="U39" s="683"/>
      <c r="V39" s="560"/>
      <c r="W39" s="578" t="str">
        <f t="shared" si="3"/>
        <v/>
      </c>
      <c r="X39" s="380"/>
      <c r="Y39" s="517"/>
      <c r="Z39" s="380"/>
      <c r="AA39" s="507" t="str">
        <f t="shared" si="4"/>
        <v/>
      </c>
      <c r="AB39" s="381"/>
      <c r="AC39" s="597">
        <f t="shared" si="9"/>
        <v>2</v>
      </c>
      <c r="AE39" s="507" t="str">
        <f t="shared" si="5"/>
        <v/>
      </c>
      <c r="AF39" s="381"/>
      <c r="AG39" s="381" t="str">
        <f t="shared" si="0"/>
        <v/>
      </c>
      <c r="AH39" s="381"/>
      <c r="AI39" s="597">
        <f t="shared" si="10"/>
        <v>4</v>
      </c>
      <c r="AK39" s="462">
        <f t="shared" si="6"/>
        <v>0</v>
      </c>
      <c r="AM39" s="563">
        <f t="shared" si="7"/>
        <v>0</v>
      </c>
      <c r="AO39" s="497">
        <f t="shared" si="8"/>
        <v>0</v>
      </c>
    </row>
    <row r="40" spans="1:43" x14ac:dyDescent="0.2">
      <c r="A40" s="380"/>
      <c r="B40">
        <v>13</v>
      </c>
      <c r="D40" s="413" t="str">
        <f>IF(ISBLANK('10. Load Forecast'!D41),"",'10. Load Forecast'!D41)</f>
        <v/>
      </c>
      <c r="E40" s="413"/>
      <c r="F40" s="680"/>
      <c r="H40" s="579">
        <f>IF(ISBLANK($H$20),0,IF($H$20=$AC$4,'10. Load Forecast'!F41,IF($H$20=$AC$5,'10. Load Forecast'!L41,'10. Load Forecast'!R41)))</f>
        <v>0</v>
      </c>
      <c r="I40" s="580"/>
      <c r="J40" s="579">
        <f>IF(ISBLANK($H$20),0,IF($H$20=$AC$4,'10. Load Forecast'!H41,IF($H$20=$AC$5,'10. Load Forecast'!N41,'10. Load Forecast'!T41)))</f>
        <v>0</v>
      </c>
      <c r="K40" s="580"/>
      <c r="L40" s="579">
        <f>IF(ISBLANK($H$20),0,IF($H$20=$AC$4,'10. Load Forecast'!J41,IF($H$20=$AC$5,'10. Load Forecast'!P41,'10. Load Forecast'!V41)))</f>
        <v>0</v>
      </c>
      <c r="M40" s="380"/>
      <c r="N40" s="381"/>
      <c r="O40" s="577" t="str">
        <f>IF(ISBLANK('11. Cost_Allocation'!I74),"",'11. Cost_Allocation'!I74)</f>
        <v/>
      </c>
      <c r="P40" s="381"/>
      <c r="Q40" s="464" t="str">
        <f t="shared" si="1"/>
        <v/>
      </c>
      <c r="S40" s="385" t="str">
        <f t="shared" si="2"/>
        <v/>
      </c>
      <c r="T40" s="558"/>
      <c r="U40" s="683"/>
      <c r="V40" s="560"/>
      <c r="W40" s="578" t="str">
        <f t="shared" si="3"/>
        <v/>
      </c>
      <c r="X40" s="380"/>
      <c r="Y40" s="517"/>
      <c r="Z40" s="380"/>
      <c r="AA40" s="507" t="str">
        <f t="shared" si="4"/>
        <v/>
      </c>
      <c r="AB40" s="381"/>
      <c r="AC40" s="597">
        <f t="shared" si="9"/>
        <v>2</v>
      </c>
      <c r="AE40" s="507" t="str">
        <f t="shared" si="5"/>
        <v/>
      </c>
      <c r="AF40" s="381"/>
      <c r="AG40" s="381" t="str">
        <f t="shared" si="0"/>
        <v/>
      </c>
      <c r="AH40" s="381"/>
      <c r="AI40" s="597">
        <f t="shared" si="10"/>
        <v>4</v>
      </c>
      <c r="AK40" s="462">
        <f t="shared" si="6"/>
        <v>0</v>
      </c>
      <c r="AM40" s="563">
        <f t="shared" si="7"/>
        <v>0</v>
      </c>
      <c r="AO40" s="497">
        <f t="shared" si="8"/>
        <v>0</v>
      </c>
    </row>
    <row r="41" spans="1:43" x14ac:dyDescent="0.2">
      <c r="A41" s="380"/>
      <c r="B41">
        <v>14</v>
      </c>
      <c r="D41" s="413" t="str">
        <f>IF(ISBLANK('10. Load Forecast'!D42),"",'10. Load Forecast'!D42)</f>
        <v/>
      </c>
      <c r="E41" s="413"/>
      <c r="F41" s="680"/>
      <c r="H41" s="579">
        <f>IF(ISBLANK($H$20),0,IF($H$20=$AC$4,'10. Load Forecast'!F42,IF($H$20=$AC$5,'10. Load Forecast'!L42,'10. Load Forecast'!R42)))</f>
        <v>0</v>
      </c>
      <c r="I41" s="580"/>
      <c r="J41" s="579">
        <f>IF(ISBLANK($H$20),0,IF($H$20=$AC$4,'10. Load Forecast'!H42,IF($H$20=$AC$5,'10. Load Forecast'!N42,'10. Load Forecast'!T42)))</f>
        <v>0</v>
      </c>
      <c r="K41" s="580"/>
      <c r="L41" s="579">
        <f>IF(ISBLANK($H$20),0,IF($H$20=$AC$4,'10. Load Forecast'!J42,IF($H$20=$AC$5,'10. Load Forecast'!P42,'10. Load Forecast'!V42)))</f>
        <v>0</v>
      </c>
      <c r="M41" s="380"/>
      <c r="N41" s="381"/>
      <c r="O41" s="577" t="str">
        <f>IF(ISBLANK('11. Cost_Allocation'!I75),"",'11. Cost_Allocation'!I75)</f>
        <v/>
      </c>
      <c r="P41" s="381"/>
      <c r="Q41" s="464" t="str">
        <f t="shared" si="1"/>
        <v/>
      </c>
      <c r="S41" s="385" t="str">
        <f t="shared" si="2"/>
        <v/>
      </c>
      <c r="T41" s="558"/>
      <c r="U41" s="683"/>
      <c r="V41" s="560"/>
      <c r="W41" s="578" t="str">
        <f t="shared" si="3"/>
        <v/>
      </c>
      <c r="X41" s="380"/>
      <c r="Y41" s="517"/>
      <c r="Z41" s="380"/>
      <c r="AA41" s="507" t="str">
        <f t="shared" si="4"/>
        <v/>
      </c>
      <c r="AB41" s="381"/>
      <c r="AC41" s="597">
        <f t="shared" si="9"/>
        <v>2</v>
      </c>
      <c r="AE41" s="507" t="str">
        <f t="shared" si="5"/>
        <v/>
      </c>
      <c r="AF41" s="381"/>
      <c r="AG41" s="381" t="str">
        <f t="shared" si="0"/>
        <v/>
      </c>
      <c r="AH41" s="381"/>
      <c r="AI41" s="597">
        <f t="shared" si="10"/>
        <v>4</v>
      </c>
      <c r="AK41" s="462">
        <f t="shared" si="6"/>
        <v>0</v>
      </c>
      <c r="AM41" s="563">
        <f t="shared" si="7"/>
        <v>0</v>
      </c>
      <c r="AO41" s="497">
        <f t="shared" si="8"/>
        <v>0</v>
      </c>
    </row>
    <row r="42" spans="1:43" x14ac:dyDescent="0.2">
      <c r="A42" s="380"/>
      <c r="B42">
        <v>15</v>
      </c>
      <c r="D42" s="413" t="str">
        <f>IF(ISBLANK('10. Load Forecast'!D43),"",'10. Load Forecast'!D43)</f>
        <v/>
      </c>
      <c r="E42" s="413"/>
      <c r="F42" s="680"/>
      <c r="H42" s="579">
        <f>IF(ISBLANK($H$20),0,IF($H$20=$AC$4,'10. Load Forecast'!F43,IF($H$20=$AC$5,'10. Load Forecast'!L43,'10. Load Forecast'!R43)))</f>
        <v>0</v>
      </c>
      <c r="I42" s="580"/>
      <c r="J42" s="579">
        <f>IF(ISBLANK($H$20),0,IF($H$20=$AC$4,'10. Load Forecast'!H43,IF($H$20=$AC$5,'10. Load Forecast'!N43,'10. Load Forecast'!T43)))</f>
        <v>0</v>
      </c>
      <c r="K42" s="580"/>
      <c r="L42" s="579">
        <f>IF(ISBLANK($H$20),0,IF($H$20=$AC$4,'10. Load Forecast'!J43,IF($H$20=$AC$5,'10. Load Forecast'!P43,'10. Load Forecast'!V43)))</f>
        <v>0</v>
      </c>
      <c r="M42" s="380"/>
      <c r="N42" s="381"/>
      <c r="O42" s="577" t="str">
        <f>IF(ISBLANK('11. Cost_Allocation'!I76),"",'11. Cost_Allocation'!I76)</f>
        <v/>
      </c>
      <c r="P42" s="381"/>
      <c r="Q42" s="464" t="str">
        <f t="shared" si="1"/>
        <v/>
      </c>
      <c r="S42" s="385" t="str">
        <f t="shared" si="2"/>
        <v/>
      </c>
      <c r="T42" s="558"/>
      <c r="U42" s="683"/>
      <c r="V42" s="560"/>
      <c r="W42" s="578" t="str">
        <f t="shared" si="3"/>
        <v/>
      </c>
      <c r="X42" s="380"/>
      <c r="Y42" s="517"/>
      <c r="Z42" s="380"/>
      <c r="AA42" s="507" t="str">
        <f t="shared" si="4"/>
        <v/>
      </c>
      <c r="AB42" s="381"/>
      <c r="AC42" s="597">
        <f t="shared" si="9"/>
        <v>2</v>
      </c>
      <c r="AE42" s="507" t="str">
        <f t="shared" si="5"/>
        <v/>
      </c>
      <c r="AF42" s="381"/>
      <c r="AG42" s="381" t="str">
        <f t="shared" si="0"/>
        <v/>
      </c>
      <c r="AH42" s="381"/>
      <c r="AI42" s="597">
        <f t="shared" si="10"/>
        <v>4</v>
      </c>
      <c r="AK42" s="462">
        <f t="shared" si="6"/>
        <v>0</v>
      </c>
      <c r="AM42" s="563">
        <f t="shared" si="7"/>
        <v>0</v>
      </c>
      <c r="AO42" s="497">
        <f t="shared" si="8"/>
        <v>0</v>
      </c>
    </row>
    <row r="43" spans="1:43" x14ac:dyDescent="0.2">
      <c r="A43" s="380"/>
      <c r="B43">
        <v>16</v>
      </c>
      <c r="D43" s="413" t="str">
        <f>IF(ISBLANK('10. Load Forecast'!D44),"",'10. Load Forecast'!D44)</f>
        <v/>
      </c>
      <c r="E43" s="413"/>
      <c r="F43" s="680"/>
      <c r="H43" s="579">
        <f>IF(ISBLANK($H$20),0,IF($H$20=$AC$4,'10. Load Forecast'!F44,IF($H$20=$AC$5,'10. Load Forecast'!L44,'10. Load Forecast'!R44)))</f>
        <v>0</v>
      </c>
      <c r="I43" s="580"/>
      <c r="J43" s="579">
        <f>IF(ISBLANK($H$20),0,IF($H$20=$AC$4,'10. Load Forecast'!H44,IF($H$20=$AC$5,'10. Load Forecast'!N44,'10. Load Forecast'!T44)))</f>
        <v>0</v>
      </c>
      <c r="K43" s="580"/>
      <c r="L43" s="579">
        <f>IF(ISBLANK($H$20),0,IF($H$20=$AC$4,'10. Load Forecast'!J44,IF($H$20=$AC$5,'10. Load Forecast'!P44,'10. Load Forecast'!V44)))</f>
        <v>0</v>
      </c>
      <c r="M43" s="380"/>
      <c r="N43" s="381"/>
      <c r="O43" s="577" t="str">
        <f>IF(ISBLANK('11. Cost_Allocation'!I77),"",'11. Cost_Allocation'!I77)</f>
        <v/>
      </c>
      <c r="P43" s="381"/>
      <c r="Q43" s="464" t="str">
        <f t="shared" si="1"/>
        <v/>
      </c>
      <c r="S43" s="385" t="str">
        <f t="shared" si="2"/>
        <v/>
      </c>
      <c r="T43" s="558"/>
      <c r="U43" s="683"/>
      <c r="V43" s="560"/>
      <c r="W43" s="578" t="str">
        <f t="shared" si="3"/>
        <v/>
      </c>
      <c r="X43" s="380"/>
      <c r="Y43" s="517"/>
      <c r="Z43" s="380"/>
      <c r="AA43" s="507" t="str">
        <f t="shared" si="4"/>
        <v/>
      </c>
      <c r="AB43" s="381"/>
      <c r="AC43" s="597">
        <f t="shared" si="9"/>
        <v>2</v>
      </c>
      <c r="AE43" s="507" t="str">
        <f t="shared" si="5"/>
        <v/>
      </c>
      <c r="AF43" s="381"/>
      <c r="AG43" s="381" t="str">
        <f t="shared" si="0"/>
        <v/>
      </c>
      <c r="AH43" s="381"/>
      <c r="AI43" s="597">
        <f t="shared" si="10"/>
        <v>4</v>
      </c>
      <c r="AK43" s="462">
        <f t="shared" si="6"/>
        <v>0</v>
      </c>
      <c r="AM43" s="563">
        <f t="shared" si="7"/>
        <v>0</v>
      </c>
      <c r="AO43" s="497">
        <f t="shared" si="8"/>
        <v>0</v>
      </c>
    </row>
    <row r="44" spans="1:43" x14ac:dyDescent="0.2">
      <c r="A44" s="380"/>
      <c r="B44">
        <v>17</v>
      </c>
      <c r="D44" s="413" t="str">
        <f>IF(ISBLANK('10. Load Forecast'!D45),"",'10. Load Forecast'!D45)</f>
        <v/>
      </c>
      <c r="E44" s="413"/>
      <c r="F44" s="680"/>
      <c r="H44" s="579">
        <f>IF(ISBLANK($H$20),0,IF($H$20=$AC$4,'10. Load Forecast'!F45,IF($H$20=$AC$5,'10. Load Forecast'!L45,'10. Load Forecast'!R45)))</f>
        <v>0</v>
      </c>
      <c r="I44" s="580"/>
      <c r="J44" s="579">
        <f>IF(ISBLANK($H$20),0,IF($H$20=$AC$4,'10. Load Forecast'!H45,IF($H$20=$AC$5,'10. Load Forecast'!N45,'10. Load Forecast'!T45)))</f>
        <v>0</v>
      </c>
      <c r="K44" s="580"/>
      <c r="L44" s="579">
        <f>IF(ISBLANK($H$20),0,IF($H$20=$AC$4,'10. Load Forecast'!J45,IF($H$20=$AC$5,'10. Load Forecast'!P45,'10. Load Forecast'!V45)))</f>
        <v>0</v>
      </c>
      <c r="M44" s="380"/>
      <c r="N44" s="381"/>
      <c r="O44" s="577" t="str">
        <f>IF(ISBLANK('11. Cost_Allocation'!I78),"",'11. Cost_Allocation'!I78)</f>
        <v/>
      </c>
      <c r="P44" s="381"/>
      <c r="Q44" s="464" t="str">
        <f t="shared" si="1"/>
        <v/>
      </c>
      <c r="S44" s="385" t="str">
        <f t="shared" si="2"/>
        <v/>
      </c>
      <c r="T44" s="558"/>
      <c r="U44" s="683"/>
      <c r="V44" s="560"/>
      <c r="W44" s="578" t="str">
        <f t="shared" si="3"/>
        <v/>
      </c>
      <c r="X44" s="380"/>
      <c r="Y44" s="517"/>
      <c r="Z44" s="380"/>
      <c r="AA44" s="507" t="str">
        <f t="shared" si="4"/>
        <v/>
      </c>
      <c r="AB44" s="381"/>
      <c r="AC44" s="597">
        <f t="shared" si="9"/>
        <v>2</v>
      </c>
      <c r="AE44" s="507" t="str">
        <f t="shared" si="5"/>
        <v/>
      </c>
      <c r="AF44" s="381"/>
      <c r="AG44" s="381" t="str">
        <f t="shared" si="0"/>
        <v/>
      </c>
      <c r="AH44" s="381"/>
      <c r="AI44" s="597">
        <f t="shared" si="10"/>
        <v>4</v>
      </c>
      <c r="AK44" s="462">
        <f t="shared" si="6"/>
        <v>0</v>
      </c>
      <c r="AM44" s="563">
        <f t="shared" si="7"/>
        <v>0</v>
      </c>
      <c r="AO44" s="497">
        <f t="shared" si="8"/>
        <v>0</v>
      </c>
    </row>
    <row r="45" spans="1:43" x14ac:dyDescent="0.2">
      <c r="A45" s="380"/>
      <c r="B45">
        <v>18</v>
      </c>
      <c r="D45" s="413" t="str">
        <f>IF(ISBLANK('10. Load Forecast'!D46),"",'10. Load Forecast'!D46)</f>
        <v/>
      </c>
      <c r="E45" s="413"/>
      <c r="F45" s="680"/>
      <c r="H45" s="579">
        <f>IF(ISBLANK($H$20),0,IF($H$20=$AC$4,'10. Load Forecast'!F46,IF($H$20=$AC$5,'10. Load Forecast'!L46,'10. Load Forecast'!R46)))</f>
        <v>0</v>
      </c>
      <c r="I45" s="580"/>
      <c r="J45" s="579">
        <f>IF(ISBLANK($H$20),0,IF($H$20=$AC$4,'10. Load Forecast'!H46,IF($H$20=$AC$5,'10. Load Forecast'!N46,'10. Load Forecast'!T46)))</f>
        <v>0</v>
      </c>
      <c r="K45" s="580"/>
      <c r="L45" s="579">
        <f>IF(ISBLANK($H$20),0,IF($H$20=$AC$4,'10. Load Forecast'!J46,IF($H$20=$AC$5,'10. Load Forecast'!P46,'10. Load Forecast'!V46)))</f>
        <v>0</v>
      </c>
      <c r="M45" s="380"/>
      <c r="N45" s="381"/>
      <c r="O45" s="577" t="str">
        <f>IF(ISBLANK('11. Cost_Allocation'!I79),"",'11. Cost_Allocation'!I79)</f>
        <v/>
      </c>
      <c r="P45" s="381"/>
      <c r="Q45" s="464" t="str">
        <f t="shared" si="1"/>
        <v/>
      </c>
      <c r="S45" s="385" t="str">
        <f t="shared" si="2"/>
        <v/>
      </c>
      <c r="T45" s="558"/>
      <c r="U45" s="683"/>
      <c r="V45" s="560"/>
      <c r="W45" s="578" t="str">
        <f t="shared" si="3"/>
        <v/>
      </c>
      <c r="X45" s="380"/>
      <c r="Y45" s="517"/>
      <c r="Z45" s="380"/>
      <c r="AA45" s="507" t="str">
        <f t="shared" si="4"/>
        <v/>
      </c>
      <c r="AB45" s="381"/>
      <c r="AC45" s="597">
        <f t="shared" si="9"/>
        <v>2</v>
      </c>
      <c r="AE45" s="507" t="str">
        <f t="shared" si="5"/>
        <v/>
      </c>
      <c r="AF45" s="381"/>
      <c r="AG45" s="381" t="str">
        <f t="shared" si="0"/>
        <v/>
      </c>
      <c r="AH45" s="381"/>
      <c r="AI45" s="597">
        <f t="shared" si="10"/>
        <v>4</v>
      </c>
      <c r="AK45" s="462">
        <f t="shared" si="6"/>
        <v>0</v>
      </c>
      <c r="AM45" s="563">
        <f t="shared" si="7"/>
        <v>0</v>
      </c>
      <c r="AO45" s="497">
        <f t="shared" si="8"/>
        <v>0</v>
      </c>
      <c r="AQ45" s="895" t="s">
        <v>400</v>
      </c>
    </row>
    <row r="46" spans="1:43" x14ac:dyDescent="0.2">
      <c r="A46" s="380"/>
      <c r="B46">
        <v>19</v>
      </c>
      <c r="D46" s="413" t="str">
        <f>IF(ISBLANK('10. Load Forecast'!D47),"",'10. Load Forecast'!D47)</f>
        <v/>
      </c>
      <c r="E46" s="413"/>
      <c r="F46" s="680"/>
      <c r="H46" s="579">
        <f>IF(ISBLANK($H$20),0,IF($H$20=$AC$4,'10. Load Forecast'!F47,IF($H$20=$AC$5,'10. Load Forecast'!L47,'10. Load Forecast'!R47)))</f>
        <v>0</v>
      </c>
      <c r="I46" s="580"/>
      <c r="J46" s="579">
        <f>IF(ISBLANK($H$20),0,IF($H$20=$AC$4,'10. Load Forecast'!H47,IF($H$20=$AC$5,'10. Load Forecast'!N47,'10. Load Forecast'!T47)))</f>
        <v>0</v>
      </c>
      <c r="K46" s="580"/>
      <c r="L46" s="579">
        <f>IF(ISBLANK($H$20),0,IF($H$20=$AC$4,'10. Load Forecast'!J47,IF($H$20=$AC$5,'10. Load Forecast'!P47,'10. Load Forecast'!V47)))</f>
        <v>0</v>
      </c>
      <c r="M46" s="380"/>
      <c r="N46" s="381"/>
      <c r="O46" s="577" t="str">
        <f>IF(ISBLANK('11. Cost_Allocation'!I80),"",'11. Cost_Allocation'!I80)</f>
        <v/>
      </c>
      <c r="P46" s="381"/>
      <c r="Q46" s="464" t="str">
        <f t="shared" si="1"/>
        <v/>
      </c>
      <c r="S46" s="385" t="str">
        <f t="shared" si="2"/>
        <v/>
      </c>
      <c r="T46" s="558"/>
      <c r="U46" s="683"/>
      <c r="V46" s="560"/>
      <c r="W46" s="578" t="str">
        <f t="shared" si="3"/>
        <v/>
      </c>
      <c r="X46" s="380"/>
      <c r="Y46" s="517"/>
      <c r="Z46" s="380"/>
      <c r="AA46" s="507" t="str">
        <f t="shared" si="4"/>
        <v/>
      </c>
      <c r="AB46" s="381"/>
      <c r="AC46" s="597">
        <f t="shared" si="9"/>
        <v>2</v>
      </c>
      <c r="AE46" s="507" t="str">
        <f t="shared" si="5"/>
        <v/>
      </c>
      <c r="AF46" s="381"/>
      <c r="AG46" s="381" t="str">
        <f t="shared" si="0"/>
        <v/>
      </c>
      <c r="AH46" s="381"/>
      <c r="AI46" s="597">
        <f t="shared" si="10"/>
        <v>4</v>
      </c>
      <c r="AK46" s="462">
        <f t="shared" si="6"/>
        <v>0</v>
      </c>
      <c r="AM46" s="563">
        <f t="shared" si="7"/>
        <v>0</v>
      </c>
      <c r="AO46" s="497">
        <f t="shared" si="8"/>
        <v>0</v>
      </c>
      <c r="AQ46" s="895"/>
    </row>
    <row r="47" spans="1:43" ht="13.5" thickBot="1" x14ac:dyDescent="0.25">
      <c r="A47" s="380"/>
      <c r="B47" s="499">
        <v>20</v>
      </c>
      <c r="C47" s="495"/>
      <c r="D47" s="500" t="str">
        <f>IF(ISBLANK('10. Load Forecast'!D48),"",'10. Load Forecast'!D48)</f>
        <v/>
      </c>
      <c r="E47" s="500"/>
      <c r="F47" s="681"/>
      <c r="G47" s="495"/>
      <c r="H47" s="581">
        <f>IF(ISBLANK($H$20),0,IF($H$20=$AC$4,'10. Load Forecast'!F48,IF($H$20=$AC$5,'10. Load Forecast'!L48,'10. Load Forecast'!R48)))</f>
        <v>0</v>
      </c>
      <c r="I47" s="582"/>
      <c r="J47" s="581">
        <f>IF(ISBLANK($H$20),0,IF($H$20=$AC$4,'10. Load Forecast'!H48,IF($H$20=$AC$5,'10. Load Forecast'!N48,'10. Load Forecast'!T48)))</f>
        <v>0</v>
      </c>
      <c r="K47" s="582"/>
      <c r="L47" s="581">
        <f>IF(ISBLANK($H$20),0,IF($H$20=$AC$4,'10. Load Forecast'!J48,IF($H$20=$AC$5,'10. Load Forecast'!P48,'10. Load Forecast'!V48)))</f>
        <v>0</v>
      </c>
      <c r="M47" s="496"/>
      <c r="N47" s="495"/>
      <c r="O47" s="501" t="str">
        <f>IF(ISBLANK('11. Cost_Allocation'!I81),"",'11. Cost_Allocation'!I81)</f>
        <v/>
      </c>
      <c r="P47" s="495"/>
      <c r="Q47" s="501" t="str">
        <f t="shared" si="1"/>
        <v/>
      </c>
      <c r="R47" s="495"/>
      <c r="S47" s="503" t="str">
        <f t="shared" si="2"/>
        <v/>
      </c>
      <c r="T47" s="559"/>
      <c r="U47" s="684"/>
      <c r="V47" s="561"/>
      <c r="W47" s="583" t="str">
        <f t="shared" si="3"/>
        <v/>
      </c>
      <c r="X47" s="496"/>
      <c r="Y47" s="584"/>
      <c r="Z47" s="496"/>
      <c r="AA47" s="508" t="str">
        <f t="shared" si="4"/>
        <v/>
      </c>
      <c r="AB47" s="495"/>
      <c r="AC47" s="598">
        <f t="shared" si="9"/>
        <v>2</v>
      </c>
      <c r="AD47" s="495"/>
      <c r="AE47" s="508" t="str">
        <f t="shared" si="5"/>
        <v/>
      </c>
      <c r="AF47" s="495"/>
      <c r="AG47" s="495" t="str">
        <f t="shared" si="0"/>
        <v/>
      </c>
      <c r="AH47" s="495"/>
      <c r="AI47" s="598">
        <f t="shared" si="10"/>
        <v>4</v>
      </c>
      <c r="AK47" s="462">
        <f t="shared" si="6"/>
        <v>0</v>
      </c>
      <c r="AM47" s="563">
        <f t="shared" si="7"/>
        <v>0</v>
      </c>
      <c r="AO47" s="497">
        <f t="shared" si="8"/>
        <v>0</v>
      </c>
      <c r="AQ47" s="895"/>
    </row>
    <row r="48" spans="1:43" ht="13.5" thickBot="1" x14ac:dyDescent="0.25">
      <c r="A48" s="381"/>
      <c r="B48" s="504"/>
      <c r="AI48" s="380"/>
      <c r="AO48" s="380"/>
      <c r="AQ48" s="600"/>
    </row>
    <row r="49" spans="2:43" ht="13.5" thickBot="1" x14ac:dyDescent="0.25">
      <c r="S49" s="907" t="s">
        <v>399</v>
      </c>
      <c r="T49" s="907"/>
      <c r="U49" s="907"/>
      <c r="V49" s="907"/>
      <c r="W49" s="907"/>
      <c r="Y49" s="586">
        <f>SUM(Y28:Y47)</f>
        <v>161467.10689454596</v>
      </c>
      <c r="AI49" s="380"/>
      <c r="AJ49" s="442" t="s">
        <v>306</v>
      </c>
      <c r="AO49" s="497">
        <f>SUM(AO28:AO47)</f>
        <v>24770873.399999999</v>
      </c>
      <c r="AQ49" s="601">
        <f>SUM(AK28:AK47)+SUM(AM28:AM47)</f>
        <v>24932340.502277136</v>
      </c>
    </row>
    <row r="50" spans="2:43" x14ac:dyDescent="0.2">
      <c r="AI50" s="380"/>
      <c r="AO50" s="380"/>
      <c r="AQ50" s="601">
        <f>AO49+Y49</f>
        <v>24932340.506894544</v>
      </c>
    </row>
    <row r="51" spans="2:43" x14ac:dyDescent="0.2">
      <c r="AE51" s="871" t="str">
        <f>IF(AO54="","",IF((ABS(AO54)&lt;=0.5%),"Rates recover revenue requirement","Revenues recovered from rates deviate materially from revenue requirement - check data inputs and calculations"))</f>
        <v>Rates recover revenue requirement</v>
      </c>
      <c r="AF51" s="871"/>
      <c r="AG51" s="871"/>
      <c r="AH51" s="871"/>
      <c r="AI51" s="898"/>
      <c r="AJ51" s="442" t="s">
        <v>219</v>
      </c>
      <c r="AK51" s="443"/>
      <c r="AO51" s="498">
        <f>IF(H20="",0,IF(H20=AC4,'9. Rev_Reqt'!F28,IF(H20=AC5,'9. Rev_Reqt'!J28,'9. Rev_Reqt'!N28)))</f>
        <v>24771345.674350731</v>
      </c>
    </row>
    <row r="52" spans="2:43" x14ac:dyDescent="0.2">
      <c r="B52" s="442" t="s">
        <v>42</v>
      </c>
      <c r="AE52" s="871"/>
      <c r="AF52" s="871"/>
      <c r="AG52" s="871"/>
      <c r="AH52" s="871"/>
      <c r="AI52" s="898"/>
      <c r="AO52" s="380"/>
    </row>
    <row r="53" spans="2:43" x14ac:dyDescent="0.2">
      <c r="AE53" s="871"/>
      <c r="AF53" s="871"/>
      <c r="AG53" s="871"/>
      <c r="AH53" s="871"/>
      <c r="AI53" s="898"/>
      <c r="AJ53" s="442" t="s">
        <v>299</v>
      </c>
      <c r="AO53" s="497">
        <f>AO49-AO51</f>
        <v>-472.27435073256493</v>
      </c>
    </row>
    <row r="54" spans="2:43" ht="15" thickBot="1" x14ac:dyDescent="0.25">
      <c r="B54" s="608">
        <v>1</v>
      </c>
      <c r="D54" s="443" t="s">
        <v>405</v>
      </c>
      <c r="AE54" s="871"/>
      <c r="AF54" s="871"/>
      <c r="AG54" s="871"/>
      <c r="AH54" s="871"/>
      <c r="AI54" s="898"/>
      <c r="AJ54" s="510" t="s">
        <v>300</v>
      </c>
      <c r="AK54" s="495"/>
      <c r="AL54" s="495"/>
      <c r="AM54" s="495"/>
      <c r="AN54" s="495"/>
      <c r="AO54" s="585">
        <f>IF(AO51=0,"",AO53/AO51)</f>
        <v>-1.9065349010149948E-5</v>
      </c>
    </row>
    <row r="55" spans="2:43" ht="14.25" x14ac:dyDescent="0.2">
      <c r="B55" s="575"/>
      <c r="D55" s="443"/>
      <c r="AE55" s="692"/>
      <c r="AF55" s="692"/>
      <c r="AG55" s="692"/>
      <c r="AH55" s="692"/>
      <c r="AI55" s="602"/>
      <c r="AJ55" s="603"/>
      <c r="AK55" s="381"/>
      <c r="AL55" s="381"/>
      <c r="AM55" s="381"/>
      <c r="AN55" s="381"/>
      <c r="AO55" s="604"/>
    </row>
    <row r="56" spans="2:43" ht="14.25" x14ac:dyDescent="0.2">
      <c r="B56" s="599">
        <v>2</v>
      </c>
      <c r="D56" s="870" t="s">
        <v>407</v>
      </c>
      <c r="E56" s="870"/>
      <c r="F56" s="870"/>
      <c r="G56" s="870"/>
      <c r="H56" s="870"/>
      <c r="I56" s="870"/>
      <c r="J56" s="870"/>
      <c r="K56" s="870"/>
      <c r="L56" s="870"/>
      <c r="M56" s="870"/>
      <c r="N56" s="870"/>
      <c r="O56" s="870"/>
      <c r="P56" s="870"/>
      <c r="Q56" s="870"/>
      <c r="R56" s="870"/>
      <c r="S56" s="870"/>
      <c r="T56" s="870"/>
      <c r="U56" s="870"/>
      <c r="V56" s="870"/>
      <c r="W56" s="870"/>
      <c r="X56" s="870"/>
      <c r="Y56" s="870"/>
      <c r="Z56" s="870"/>
      <c r="AA56" s="870"/>
      <c r="AB56" s="870"/>
      <c r="AC56" s="870"/>
      <c r="AD56" s="870"/>
      <c r="AE56" s="870"/>
      <c r="AF56" s="870"/>
      <c r="AG56" s="870"/>
      <c r="AH56" s="870"/>
      <c r="AJ56" s="518"/>
      <c r="AK56" s="413"/>
      <c r="AL56" s="413"/>
      <c r="AM56" s="413"/>
      <c r="AN56" s="413"/>
    </row>
    <row r="57" spans="2:43" x14ac:dyDescent="0.2">
      <c r="D57" s="870"/>
      <c r="E57" s="870"/>
      <c r="F57" s="870"/>
      <c r="G57" s="870"/>
      <c r="H57" s="870"/>
      <c r="I57" s="870"/>
      <c r="J57" s="870"/>
      <c r="K57" s="870"/>
      <c r="L57" s="870"/>
      <c r="M57" s="870"/>
      <c r="N57" s="870"/>
      <c r="O57" s="870"/>
      <c r="P57" s="870"/>
      <c r="Q57" s="870"/>
      <c r="R57" s="870"/>
      <c r="S57" s="870"/>
      <c r="T57" s="870"/>
      <c r="U57" s="870"/>
      <c r="V57" s="870"/>
      <c r="W57" s="870"/>
      <c r="X57" s="870"/>
      <c r="Y57" s="870"/>
      <c r="Z57" s="870"/>
      <c r="AA57" s="870"/>
      <c r="AB57" s="870"/>
      <c r="AC57" s="870"/>
      <c r="AD57" s="870"/>
      <c r="AE57" s="870"/>
      <c r="AF57" s="870"/>
      <c r="AG57" s="870"/>
      <c r="AH57" s="870"/>
    </row>
  </sheetData>
  <sheetProtection algorithmName="SHA-512" hashValue="DzGaJaFUSJoCtTdMMXuBnMQt+/MfgIOfrS05zHz5HS9xgRGOQ0Jc479cUYWMmA0163flqf6R03N7YhECu19Bew==" saltValue="V4XrsArR8Su1hVWUNViPAg==" spinCount="100000" sheet="1" objects="1" scenarios="1"/>
  <mergeCells count="24">
    <mergeCell ref="D56:AH57"/>
    <mergeCell ref="B15:AO15"/>
    <mergeCell ref="B17:AO17"/>
    <mergeCell ref="AE24:AI24"/>
    <mergeCell ref="L24:L26"/>
    <mergeCell ref="D22:L22"/>
    <mergeCell ref="Y24:Y26"/>
    <mergeCell ref="AA20:AI20"/>
    <mergeCell ref="AO24:AO26"/>
    <mergeCell ref="H20:L20"/>
    <mergeCell ref="F24:F26"/>
    <mergeCell ref="H24:H26"/>
    <mergeCell ref="J24:J26"/>
    <mergeCell ref="O20:S20"/>
    <mergeCell ref="O24:O26"/>
    <mergeCell ref="Q24:Q26"/>
    <mergeCell ref="S24:S26"/>
    <mergeCell ref="AQ45:AQ47"/>
    <mergeCell ref="AK20:AO20"/>
    <mergeCell ref="AE51:AI54"/>
    <mergeCell ref="U22:W22"/>
    <mergeCell ref="O22:S23"/>
    <mergeCell ref="U23:W23"/>
    <mergeCell ref="S49:W49"/>
  </mergeCells>
  <conditionalFormatting sqref="AA29:AA47">
    <cfRule type="expression" dxfId="12" priority="7">
      <formula>$AC29=4</formula>
    </cfRule>
    <cfRule type="expression" dxfId="11" priority="8">
      <formula>$AC29=3</formula>
    </cfRule>
    <cfRule type="expression" dxfId="10" priority="9">
      <formula>$AC29=2</formula>
    </cfRule>
  </conditionalFormatting>
  <conditionalFormatting sqref="AE28:AE47">
    <cfRule type="expression" dxfId="9" priority="10">
      <formula>$AI28=7</formula>
    </cfRule>
    <cfRule type="expression" dxfId="8" priority="11">
      <formula>$AI28=6</formula>
    </cfRule>
    <cfRule type="expression" dxfId="7" priority="12">
      <formula>$AI28=5</formula>
    </cfRule>
    <cfRule type="expression" dxfId="6" priority="13">
      <formula>$AI28=4</formula>
    </cfRule>
  </conditionalFormatting>
  <conditionalFormatting sqref="AE51:AI55">
    <cfRule type="expression" dxfId="5" priority="6">
      <formula>ABS($AO$54)&gt;1%</formula>
    </cfRule>
  </conditionalFormatting>
  <conditionalFormatting sqref="U28:U47">
    <cfRule type="expression" dxfId="4" priority="4">
      <formula>"&gt; 1"</formula>
    </cfRule>
    <cfRule type="expression" dxfId="3" priority="5">
      <formula>"&lt; 0"</formula>
    </cfRule>
  </conditionalFormatting>
  <conditionalFormatting sqref="AA28">
    <cfRule type="expression" dxfId="2" priority="1">
      <formula>$AC28=4</formula>
    </cfRule>
    <cfRule type="expression" dxfId="1" priority="2">
      <formula>$AC28=3</formula>
    </cfRule>
    <cfRule type="expression" dxfId="0" priority="3">
      <formula>$AC28=2</formula>
    </cfRule>
  </conditionalFormatting>
  <dataValidations count="4">
    <dataValidation type="list" allowBlank="1" showInputMessage="1" showErrorMessage="1" sqref="F28:F47" xr:uid="{00000000-0002-0000-0E00-000000000000}">
      <formula1>"kWh,kW,kVA"</formula1>
    </dataValidation>
    <dataValidation type="list" allowBlank="1" showInputMessage="1" showErrorMessage="1" sqref="AC28" xr:uid="{00000000-0002-0000-0E00-000001000000}">
      <formula1>"2"</formula1>
    </dataValidation>
    <dataValidation type="list" allowBlank="1" showInputMessage="1" showErrorMessage="1" sqref="AI28" xr:uid="{00000000-0002-0000-0E00-000002000000}">
      <formula1>"4,5"</formula1>
    </dataValidation>
    <dataValidation type="decimal" allowBlank="1" showInputMessage="1" showErrorMessage="1" prompt="Number must be a fraction between 0 and 1." sqref="U28:U47" xr:uid="{00000000-0002-0000-0E00-000003000000}">
      <formula1>0</formula1>
      <formula2>1</formula2>
    </dataValidation>
  </dataValidations>
  <pageMargins left="0.31496062992125984" right="0.31496062992125984" top="0.74803149606299213" bottom="0.74803149606299213" header="0.31496062992125984" footer="0.31496062992125984"/>
  <pageSetup scale="43" orientation="landscape"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2:R212"/>
  <sheetViews>
    <sheetView showGridLines="0" view="pageBreakPreview" zoomScale="60" zoomScaleNormal="90" workbookViewId="0">
      <pane xSplit="3" ySplit="19" topLeftCell="D20" activePane="bottomRight" state="frozen"/>
      <selection activeCell="J29" sqref="J29"/>
      <selection pane="topRight" activeCell="J29" sqref="J29"/>
      <selection pane="bottomLeft" activeCell="J29" sqref="J29"/>
      <selection pane="bottomRight" activeCell="J29" sqref="J29"/>
    </sheetView>
  </sheetViews>
  <sheetFormatPr defaultRowHeight="12.75" x14ac:dyDescent="0.2"/>
  <cols>
    <col min="1" max="1" width="3.28515625" bestFit="1" customWidth="1"/>
    <col min="2" max="2" width="23.5703125" customWidth="1"/>
    <col min="3" max="3" width="51.7109375" customWidth="1"/>
    <col min="4" max="4" width="13.85546875" customWidth="1"/>
    <col min="5" max="5" width="12.85546875" customWidth="1"/>
    <col min="6" max="7" width="14.7109375" customWidth="1"/>
    <col min="8" max="8" width="14.85546875" customWidth="1"/>
    <col min="9" max="9" width="15.7109375" customWidth="1"/>
    <col min="10" max="10" width="12.85546875" customWidth="1"/>
    <col min="11" max="11" width="14.140625" customWidth="1"/>
    <col min="12" max="12" width="14.28515625" customWidth="1"/>
    <col min="13" max="13" width="12.85546875" customWidth="1"/>
    <col min="14" max="14" width="14.140625" customWidth="1"/>
    <col min="15" max="15" width="12.85546875" customWidth="1"/>
    <col min="16" max="16" width="5.7109375" hidden="1" customWidth="1"/>
    <col min="17" max="18" width="0" hidden="1" customWidth="1"/>
  </cols>
  <sheetData>
    <row r="2" spans="2:15" x14ac:dyDescent="0.2">
      <c r="I2" s="413"/>
      <c r="J2" s="413"/>
      <c r="K2" s="413"/>
      <c r="L2" s="413"/>
      <c r="M2" s="413"/>
      <c r="N2" s="413"/>
      <c r="O2" s="413"/>
    </row>
    <row r="3" spans="2:15" x14ac:dyDescent="0.2">
      <c r="I3" s="417"/>
      <c r="J3" s="417"/>
      <c r="K3" s="417"/>
      <c r="L3" s="417"/>
      <c r="M3" s="417"/>
      <c r="N3" s="417"/>
      <c r="O3" s="417"/>
    </row>
    <row r="4" spans="2:15" x14ac:dyDescent="0.2">
      <c r="I4" s="417"/>
      <c r="J4" s="417"/>
      <c r="K4" s="417"/>
      <c r="L4" s="417"/>
      <c r="M4" s="417"/>
      <c r="N4" s="417"/>
      <c r="O4" s="417"/>
    </row>
    <row r="5" spans="2:15" x14ac:dyDescent="0.2">
      <c r="I5" s="418"/>
      <c r="J5" s="418"/>
      <c r="K5" s="418"/>
      <c r="L5" s="418"/>
      <c r="M5" s="418"/>
      <c r="N5" s="418"/>
      <c r="O5" s="418"/>
    </row>
    <row r="6" spans="2:15" x14ac:dyDescent="0.2">
      <c r="I6" s="418"/>
      <c r="J6" s="418"/>
      <c r="K6" s="418"/>
      <c r="L6" s="418"/>
      <c r="M6" s="418"/>
      <c r="N6" s="418"/>
      <c r="O6" s="418"/>
    </row>
    <row r="7" spans="2:15" x14ac:dyDescent="0.2">
      <c r="I7" s="418"/>
      <c r="J7" s="418"/>
      <c r="K7" s="418"/>
      <c r="L7" s="418"/>
      <c r="M7" s="418"/>
      <c r="N7" s="418"/>
      <c r="O7" s="418"/>
    </row>
    <row r="8" spans="2:15" x14ac:dyDescent="0.2">
      <c r="I8" s="418"/>
      <c r="J8" s="418"/>
      <c r="K8" s="418"/>
      <c r="L8" s="418"/>
      <c r="M8" s="418"/>
      <c r="N8" s="418"/>
      <c r="O8" s="418"/>
    </row>
    <row r="9" spans="2:15" x14ac:dyDescent="0.2">
      <c r="I9" s="418"/>
      <c r="J9" s="418"/>
      <c r="K9" s="418"/>
      <c r="L9" s="418"/>
      <c r="M9" s="418"/>
      <c r="N9" s="418"/>
      <c r="O9" s="418"/>
    </row>
    <row r="10" spans="2:15" x14ac:dyDescent="0.2">
      <c r="I10" s="418"/>
      <c r="J10" s="418"/>
      <c r="K10" s="418"/>
      <c r="L10" s="418"/>
      <c r="M10" s="418"/>
      <c r="N10" s="418"/>
      <c r="O10" s="418"/>
    </row>
    <row r="11" spans="2:15" x14ac:dyDescent="0.2">
      <c r="I11" s="418"/>
      <c r="J11" s="418"/>
      <c r="K11" s="418"/>
      <c r="L11" s="418"/>
      <c r="M11" s="418"/>
      <c r="N11" s="418"/>
      <c r="O11" s="418"/>
    </row>
    <row r="13" spans="2:15" ht="9" customHeight="1" x14ac:dyDescent="0.2"/>
    <row r="14" spans="2:15" ht="18" x14ac:dyDescent="0.25">
      <c r="B14" s="416" t="s">
        <v>240</v>
      </c>
    </row>
    <row r="15" spans="2:15" ht="83.25" customHeight="1" x14ac:dyDescent="0.2">
      <c r="B15" s="932" t="s">
        <v>415</v>
      </c>
      <c r="C15" s="932"/>
      <c r="D15" s="932"/>
      <c r="E15" s="932"/>
      <c r="F15" s="932"/>
      <c r="G15" s="932"/>
      <c r="H15" s="932"/>
      <c r="I15" s="932"/>
      <c r="J15" s="932"/>
      <c r="K15" s="932"/>
      <c r="L15" s="932"/>
      <c r="M15" s="932"/>
      <c r="N15" s="932"/>
      <c r="O15" s="932"/>
    </row>
    <row r="16" spans="2:15" ht="40.5" customHeight="1" x14ac:dyDescent="0.35">
      <c r="B16" s="917" t="s">
        <v>253</v>
      </c>
      <c r="C16" s="917"/>
      <c r="D16" s="917"/>
      <c r="E16" s="917"/>
      <c r="F16" s="917"/>
      <c r="G16" s="917"/>
      <c r="H16" s="917"/>
      <c r="I16" s="917"/>
      <c r="J16" s="917"/>
      <c r="K16" s="917"/>
      <c r="L16" s="917"/>
      <c r="M16" s="917"/>
      <c r="N16" s="917"/>
      <c r="O16" s="917"/>
    </row>
    <row r="17" spans="1:17" ht="9" customHeight="1" thickBot="1" x14ac:dyDescent="0.3">
      <c r="B17" s="396"/>
      <c r="C17" s="397"/>
      <c r="D17" s="397"/>
      <c r="E17" s="397"/>
      <c r="F17" s="397"/>
      <c r="G17" s="397"/>
      <c r="H17" s="397"/>
      <c r="I17" s="397"/>
      <c r="J17" s="397"/>
      <c r="K17" s="397"/>
      <c r="L17" s="397"/>
      <c r="M17" s="397"/>
      <c r="N17" s="397"/>
      <c r="O17" s="397"/>
    </row>
    <row r="18" spans="1:17" ht="16.5" customHeight="1" thickTop="1" thickBot="1" x14ac:dyDescent="0.25">
      <c r="A18" s="393"/>
      <c r="B18" s="392"/>
      <c r="C18" s="392"/>
      <c r="D18" s="925" t="s">
        <v>89</v>
      </c>
      <c r="E18" s="926"/>
      <c r="F18" s="930" t="s">
        <v>251</v>
      </c>
      <c r="G18" s="930"/>
      <c r="H18" s="931"/>
      <c r="I18" s="927" t="s">
        <v>117</v>
      </c>
      <c r="J18" s="928"/>
      <c r="K18" s="929"/>
      <c r="L18" s="925" t="s">
        <v>225</v>
      </c>
      <c r="M18" s="925"/>
      <c r="N18" s="925"/>
      <c r="O18" s="926"/>
      <c r="P18" s="381"/>
    </row>
    <row r="19" spans="1:17" ht="54.75" customHeight="1" thickBot="1" x14ac:dyDescent="0.25">
      <c r="A19" s="393"/>
      <c r="B19" s="400" t="s">
        <v>250</v>
      </c>
      <c r="C19" s="400" t="s">
        <v>252</v>
      </c>
      <c r="D19" s="405" t="s">
        <v>241</v>
      </c>
      <c r="E19" s="401" t="s">
        <v>242</v>
      </c>
      <c r="F19" s="405" t="s">
        <v>7</v>
      </c>
      <c r="G19" s="402" t="s">
        <v>243</v>
      </c>
      <c r="H19" s="401" t="s">
        <v>254</v>
      </c>
      <c r="I19" s="406" t="s">
        <v>244</v>
      </c>
      <c r="J19" s="408" t="s">
        <v>6</v>
      </c>
      <c r="K19" s="410" t="s">
        <v>245</v>
      </c>
      <c r="L19" s="406" t="s">
        <v>247</v>
      </c>
      <c r="M19" s="402" t="s">
        <v>246</v>
      </c>
      <c r="N19" s="402" t="s">
        <v>219</v>
      </c>
      <c r="O19" s="412" t="s">
        <v>248</v>
      </c>
    </row>
    <row r="20" spans="1:17" ht="13.5" thickTop="1" x14ac:dyDescent="0.2">
      <c r="A20" s="393"/>
      <c r="B20" s="393"/>
      <c r="C20" s="393"/>
      <c r="D20" s="380"/>
      <c r="E20" s="387"/>
      <c r="F20" s="380"/>
      <c r="G20" s="382"/>
      <c r="H20" s="387"/>
      <c r="I20" s="407"/>
      <c r="J20" s="409"/>
      <c r="K20" s="411"/>
      <c r="L20" s="407"/>
      <c r="M20" s="382"/>
      <c r="N20" s="382"/>
      <c r="O20" s="411"/>
    </row>
    <row r="21" spans="1:17" x14ac:dyDescent="0.2">
      <c r="A21" s="393"/>
      <c r="B21" s="395"/>
      <c r="C21" s="394" t="s">
        <v>249</v>
      </c>
      <c r="D21" s="385">
        <f>'7. Cost_of_Capital'!P26</f>
        <v>6238099.8369491491</v>
      </c>
      <c r="E21" s="390">
        <f>'7. Cost_of_Capital'!L26</f>
        <v>5.4922027556017571E-2</v>
      </c>
      <c r="F21" s="385">
        <f>'4. Rate_Base'!G18</f>
        <v>113581018.66480832</v>
      </c>
      <c r="G21" s="383">
        <f>'4. Rate_Base'!G26</f>
        <v>114089211.29791448</v>
      </c>
      <c r="H21" s="388">
        <f>'4. Rate_Base'!G30</f>
        <v>8556690.8473435845</v>
      </c>
      <c r="I21" s="385">
        <f>'9. Rev_Reqt'!F16</f>
        <v>4916956.9560465533</v>
      </c>
      <c r="J21" s="383">
        <f>'9. Rev_Reqt'!F19</f>
        <v>684115.38260455884</v>
      </c>
      <c r="K21" s="388">
        <f>'9. Rev_Reqt'!F15</f>
        <v>14933344.998750471</v>
      </c>
      <c r="L21" s="385">
        <f>'9. Rev_Reqt'!F25</f>
        <v>26972709.674350731</v>
      </c>
      <c r="M21" s="383">
        <f>'9. Rev_Reqt'!F32</f>
        <v>2201364</v>
      </c>
      <c r="N21" s="383">
        <f>'9. Rev_Reqt'!F28</f>
        <v>24771345.674350731</v>
      </c>
      <c r="O21" s="398">
        <f>'8. Rev_Def_Suff'!F52</f>
        <v>4350354.7071840288</v>
      </c>
    </row>
    <row r="22" spans="1:17" x14ac:dyDescent="0.2">
      <c r="A22" s="381"/>
      <c r="B22" s="404"/>
      <c r="C22" s="393"/>
      <c r="D22" s="380"/>
      <c r="E22" s="387"/>
      <c r="F22" s="380"/>
      <c r="G22" s="382"/>
      <c r="H22" s="387"/>
      <c r="I22" s="380"/>
      <c r="J22" s="382"/>
      <c r="K22" s="387"/>
      <c r="L22" s="380"/>
      <c r="M22" s="382"/>
      <c r="N22" s="382"/>
      <c r="O22" s="393"/>
    </row>
    <row r="23" spans="1:17" x14ac:dyDescent="0.2">
      <c r="A23" s="918">
        <v>1</v>
      </c>
      <c r="B23" s="919"/>
      <c r="C23" s="419"/>
      <c r="D23" s="420"/>
      <c r="E23" s="421"/>
      <c r="F23" s="420"/>
      <c r="G23" s="422"/>
      <c r="H23" s="423"/>
      <c r="I23" s="420"/>
      <c r="J23" s="424"/>
      <c r="K23" s="423"/>
      <c r="L23" s="420"/>
      <c r="M23" s="422"/>
      <c r="N23" s="424"/>
      <c r="O23" s="425"/>
      <c r="Q23" t="str">
        <f>IF(AND(ISBLANK(B23), ISBLANK(C23)), "X", "")</f>
        <v>X</v>
      </c>
    </row>
    <row r="24" spans="1:17" x14ac:dyDescent="0.2">
      <c r="A24" s="918"/>
      <c r="B24" s="920"/>
      <c r="C24" s="403" t="s">
        <v>255</v>
      </c>
      <c r="D24" s="386" t="str">
        <f>IF(D23="","",D23-D21)</f>
        <v/>
      </c>
      <c r="E24" s="391" t="str">
        <f t="shared" ref="E24:O24" si="0">IF(E23="","",E23-E21)</f>
        <v/>
      </c>
      <c r="F24" s="386" t="str">
        <f t="shared" si="0"/>
        <v/>
      </c>
      <c r="G24" s="384" t="str">
        <f t="shared" si="0"/>
        <v/>
      </c>
      <c r="H24" s="388" t="str">
        <f t="shared" si="0"/>
        <v/>
      </c>
      <c r="I24" s="386" t="str">
        <f t="shared" si="0"/>
        <v/>
      </c>
      <c r="J24" s="384" t="str">
        <f t="shared" si="0"/>
        <v/>
      </c>
      <c r="K24" s="389" t="str">
        <f t="shared" si="0"/>
        <v/>
      </c>
      <c r="L24" s="386" t="str">
        <f t="shared" si="0"/>
        <v/>
      </c>
      <c r="M24" s="384" t="str">
        <f t="shared" si="0"/>
        <v/>
      </c>
      <c r="N24" s="384" t="str">
        <f t="shared" si="0"/>
        <v/>
      </c>
      <c r="O24" s="399" t="str">
        <f t="shared" si="0"/>
        <v/>
      </c>
    </row>
    <row r="25" spans="1:17" x14ac:dyDescent="0.2">
      <c r="A25" s="918"/>
      <c r="B25" s="393"/>
      <c r="C25" s="393"/>
      <c r="D25" s="380"/>
      <c r="E25" s="387"/>
      <c r="F25" s="380"/>
      <c r="G25" s="382"/>
      <c r="H25" s="387"/>
      <c r="I25" s="380"/>
      <c r="J25" s="382"/>
      <c r="K25" s="387"/>
      <c r="L25" s="380"/>
      <c r="M25" s="382"/>
      <c r="N25" s="382"/>
      <c r="O25" s="393"/>
    </row>
    <row r="26" spans="1:17" x14ac:dyDescent="0.2">
      <c r="A26" s="918">
        <v>2</v>
      </c>
      <c r="B26" s="924"/>
      <c r="C26" s="419"/>
      <c r="D26" s="420"/>
      <c r="E26" s="421"/>
      <c r="F26" s="420"/>
      <c r="G26" s="422"/>
      <c r="H26" s="423"/>
      <c r="I26" s="420"/>
      <c r="J26" s="424"/>
      <c r="K26" s="423"/>
      <c r="L26" s="420"/>
      <c r="M26" s="422"/>
      <c r="N26" s="424"/>
      <c r="O26" s="425"/>
      <c r="Q26" t="str">
        <f t="shared" ref="Q26" si="1">IF(AND(ISBLANK(B26), ISBLANK(C26)), "X", "")</f>
        <v>X</v>
      </c>
    </row>
    <row r="27" spans="1:17" x14ac:dyDescent="0.2">
      <c r="A27" s="918"/>
      <c r="B27" s="924"/>
      <c r="C27" s="403" t="s">
        <v>255</v>
      </c>
      <c r="D27" s="386" t="str">
        <f t="shared" ref="D27:O27" si="2">IF(D26="","",D26-D23)</f>
        <v/>
      </c>
      <c r="E27" s="391" t="str">
        <f t="shared" si="2"/>
        <v/>
      </c>
      <c r="F27" s="386" t="str">
        <f t="shared" si="2"/>
        <v/>
      </c>
      <c r="G27" s="384" t="str">
        <f t="shared" si="2"/>
        <v/>
      </c>
      <c r="H27" s="388" t="str">
        <f t="shared" si="2"/>
        <v/>
      </c>
      <c r="I27" s="386" t="str">
        <f t="shared" si="2"/>
        <v/>
      </c>
      <c r="J27" s="384" t="str">
        <f t="shared" si="2"/>
        <v/>
      </c>
      <c r="K27" s="389" t="str">
        <f t="shared" si="2"/>
        <v/>
      </c>
      <c r="L27" s="386" t="str">
        <f t="shared" si="2"/>
        <v/>
      </c>
      <c r="M27" s="384" t="str">
        <f t="shared" si="2"/>
        <v/>
      </c>
      <c r="N27" s="384" t="str">
        <f t="shared" si="2"/>
        <v/>
      </c>
      <c r="O27" s="399" t="str">
        <f t="shared" si="2"/>
        <v/>
      </c>
    </row>
    <row r="28" spans="1:17" x14ac:dyDescent="0.2">
      <c r="A28" s="918"/>
      <c r="B28" s="404"/>
      <c r="C28" s="393"/>
      <c r="D28" s="380"/>
      <c r="E28" s="387"/>
      <c r="F28" s="380"/>
      <c r="G28" s="382"/>
      <c r="H28" s="387"/>
      <c r="I28" s="380"/>
      <c r="J28" s="382"/>
      <c r="K28" s="387"/>
      <c r="L28" s="380"/>
      <c r="M28" s="382"/>
      <c r="N28" s="382"/>
      <c r="O28" s="393"/>
    </row>
    <row r="29" spans="1:17" x14ac:dyDescent="0.2">
      <c r="A29" s="918">
        <v>3</v>
      </c>
      <c r="B29" s="920"/>
      <c r="C29" s="419"/>
      <c r="D29" s="420"/>
      <c r="E29" s="421"/>
      <c r="F29" s="420"/>
      <c r="G29" s="422"/>
      <c r="H29" s="423"/>
      <c r="I29" s="420"/>
      <c r="J29" s="424"/>
      <c r="K29" s="423"/>
      <c r="L29" s="420"/>
      <c r="M29" s="422"/>
      <c r="N29" s="424"/>
      <c r="O29" s="425"/>
      <c r="Q29" t="str">
        <f t="shared" ref="Q29" si="3">IF(AND(ISBLANK(B29), ISBLANK(C29)), "X", "")</f>
        <v>X</v>
      </c>
    </row>
    <row r="30" spans="1:17" x14ac:dyDescent="0.2">
      <c r="A30" s="918"/>
      <c r="B30" s="920"/>
      <c r="C30" s="403" t="s">
        <v>255</v>
      </c>
      <c r="D30" s="386" t="str">
        <f t="shared" ref="D30:O30" si="4">IF(D29="","",D29-D26)</f>
        <v/>
      </c>
      <c r="E30" s="391" t="str">
        <f t="shared" si="4"/>
        <v/>
      </c>
      <c r="F30" s="386" t="str">
        <f t="shared" si="4"/>
        <v/>
      </c>
      <c r="G30" s="384" t="str">
        <f t="shared" si="4"/>
        <v/>
      </c>
      <c r="H30" s="388" t="str">
        <f t="shared" si="4"/>
        <v/>
      </c>
      <c r="I30" s="386" t="str">
        <f t="shared" si="4"/>
        <v/>
      </c>
      <c r="J30" s="384" t="str">
        <f t="shared" si="4"/>
        <v/>
      </c>
      <c r="K30" s="389" t="str">
        <f t="shared" si="4"/>
        <v/>
      </c>
      <c r="L30" s="386" t="str">
        <f t="shared" si="4"/>
        <v/>
      </c>
      <c r="M30" s="384" t="str">
        <f t="shared" si="4"/>
        <v/>
      </c>
      <c r="N30" s="384" t="str">
        <f t="shared" si="4"/>
        <v/>
      </c>
      <c r="O30" s="399" t="str">
        <f t="shared" si="4"/>
        <v/>
      </c>
    </row>
    <row r="31" spans="1:17" x14ac:dyDescent="0.2">
      <c r="A31" s="918"/>
      <c r="B31" s="393"/>
      <c r="C31" s="393"/>
      <c r="D31" s="380"/>
      <c r="E31" s="387"/>
      <c r="F31" s="380"/>
      <c r="G31" s="382"/>
      <c r="H31" s="387"/>
      <c r="I31" s="380"/>
      <c r="J31" s="382"/>
      <c r="K31" s="387"/>
      <c r="L31" s="380"/>
      <c r="M31" s="382"/>
      <c r="N31" s="382"/>
      <c r="O31" s="393"/>
    </row>
    <row r="32" spans="1:17" x14ac:dyDescent="0.2">
      <c r="A32" s="918">
        <v>4</v>
      </c>
      <c r="B32" s="920"/>
      <c r="C32" s="419"/>
      <c r="D32" s="420"/>
      <c r="E32" s="421"/>
      <c r="F32" s="420"/>
      <c r="G32" s="422"/>
      <c r="H32" s="423"/>
      <c r="I32" s="420"/>
      <c r="J32" s="424"/>
      <c r="K32" s="423"/>
      <c r="L32" s="420"/>
      <c r="M32" s="422"/>
      <c r="N32" s="424"/>
      <c r="O32" s="425"/>
      <c r="Q32" t="str">
        <f t="shared" ref="Q32" si="5">IF(AND(ISBLANK(B32), ISBLANK(C32)), "X", "")</f>
        <v>X</v>
      </c>
    </row>
    <row r="33" spans="1:17" x14ac:dyDescent="0.2">
      <c r="A33" s="918"/>
      <c r="B33" s="920"/>
      <c r="C33" s="403" t="s">
        <v>255</v>
      </c>
      <c r="D33" s="386" t="str">
        <f t="shared" ref="D33:O33" si="6">IF(D32="","",D32-D29)</f>
        <v/>
      </c>
      <c r="E33" s="391" t="str">
        <f t="shared" si="6"/>
        <v/>
      </c>
      <c r="F33" s="386" t="str">
        <f t="shared" si="6"/>
        <v/>
      </c>
      <c r="G33" s="384" t="str">
        <f t="shared" si="6"/>
        <v/>
      </c>
      <c r="H33" s="388" t="str">
        <f t="shared" si="6"/>
        <v/>
      </c>
      <c r="I33" s="386" t="str">
        <f t="shared" si="6"/>
        <v/>
      </c>
      <c r="J33" s="384" t="str">
        <f t="shared" si="6"/>
        <v/>
      </c>
      <c r="K33" s="389" t="str">
        <f t="shared" si="6"/>
        <v/>
      </c>
      <c r="L33" s="386" t="str">
        <f t="shared" si="6"/>
        <v/>
      </c>
      <c r="M33" s="384" t="str">
        <f t="shared" si="6"/>
        <v/>
      </c>
      <c r="N33" s="384" t="str">
        <f t="shared" si="6"/>
        <v/>
      </c>
      <c r="O33" s="399" t="str">
        <f t="shared" si="6"/>
        <v/>
      </c>
    </row>
    <row r="34" spans="1:17" x14ac:dyDescent="0.2">
      <c r="A34" s="918"/>
      <c r="B34" s="393"/>
      <c r="C34" s="393"/>
      <c r="D34" s="380"/>
      <c r="E34" s="387"/>
      <c r="F34" s="380"/>
      <c r="G34" s="382"/>
      <c r="H34" s="387"/>
      <c r="I34" s="380"/>
      <c r="J34" s="382"/>
      <c r="K34" s="387"/>
      <c r="L34" s="380"/>
      <c r="M34" s="382"/>
      <c r="N34" s="382"/>
      <c r="O34" s="393"/>
    </row>
    <row r="35" spans="1:17" x14ac:dyDescent="0.2">
      <c r="A35" s="918">
        <v>5</v>
      </c>
      <c r="B35" s="919"/>
      <c r="C35" s="419"/>
      <c r="D35" s="420"/>
      <c r="E35" s="421"/>
      <c r="F35" s="420"/>
      <c r="G35" s="422"/>
      <c r="H35" s="423"/>
      <c r="I35" s="420"/>
      <c r="J35" s="424"/>
      <c r="K35" s="423"/>
      <c r="L35" s="420"/>
      <c r="M35" s="422"/>
      <c r="N35" s="424"/>
      <c r="O35" s="425"/>
      <c r="Q35" t="str">
        <f t="shared" ref="Q35" si="7">IF(AND(ISBLANK(B35), ISBLANK(C35)), "X", "")</f>
        <v>X</v>
      </c>
    </row>
    <row r="36" spans="1:17" x14ac:dyDescent="0.2">
      <c r="A36" s="918"/>
      <c r="B36" s="920"/>
      <c r="C36" s="403" t="s">
        <v>255</v>
      </c>
      <c r="D36" s="386" t="str">
        <f t="shared" ref="D36:O36" si="8">IF(D35="","",D35-D32)</f>
        <v/>
      </c>
      <c r="E36" s="391" t="str">
        <f t="shared" si="8"/>
        <v/>
      </c>
      <c r="F36" s="386" t="str">
        <f t="shared" si="8"/>
        <v/>
      </c>
      <c r="G36" s="384" t="str">
        <f t="shared" si="8"/>
        <v/>
      </c>
      <c r="H36" s="388" t="str">
        <f t="shared" si="8"/>
        <v/>
      </c>
      <c r="I36" s="386" t="str">
        <f t="shared" si="8"/>
        <v/>
      </c>
      <c r="J36" s="384" t="str">
        <f t="shared" si="8"/>
        <v/>
      </c>
      <c r="K36" s="389" t="str">
        <f t="shared" si="8"/>
        <v/>
      </c>
      <c r="L36" s="386" t="str">
        <f t="shared" si="8"/>
        <v/>
      </c>
      <c r="M36" s="384" t="str">
        <f t="shared" si="8"/>
        <v/>
      </c>
      <c r="N36" s="384" t="str">
        <f t="shared" si="8"/>
        <v/>
      </c>
      <c r="O36" s="399" t="str">
        <f t="shared" si="8"/>
        <v/>
      </c>
    </row>
    <row r="37" spans="1:17" x14ac:dyDescent="0.2">
      <c r="A37" s="918"/>
      <c r="B37" s="393"/>
      <c r="C37" s="393"/>
      <c r="D37" s="380"/>
      <c r="E37" s="387"/>
      <c r="F37" s="380"/>
      <c r="G37" s="382"/>
      <c r="H37" s="387"/>
      <c r="I37" s="380"/>
      <c r="J37" s="382"/>
      <c r="K37" s="387"/>
      <c r="L37" s="380"/>
      <c r="M37" s="382"/>
      <c r="N37" s="382"/>
      <c r="O37" s="393"/>
    </row>
    <row r="38" spans="1:17" s="381" customFormat="1" x14ac:dyDescent="0.2">
      <c r="A38" s="918">
        <v>6</v>
      </c>
      <c r="B38" s="923"/>
      <c r="C38" s="419"/>
      <c r="D38" s="420"/>
      <c r="E38" s="421"/>
      <c r="F38" s="420"/>
      <c r="G38" s="422"/>
      <c r="H38" s="423"/>
      <c r="I38" s="420"/>
      <c r="J38" s="424"/>
      <c r="K38" s="423"/>
      <c r="L38" s="420"/>
      <c r="M38" s="422"/>
      <c r="N38" s="424"/>
      <c r="O38" s="425"/>
      <c r="Q38" s="381" t="str">
        <f t="shared" ref="Q38" si="9">IF(AND(ISBLANK(B38), ISBLANK(C38)), "X", "")</f>
        <v>X</v>
      </c>
    </row>
    <row r="39" spans="1:17" s="381" customFormat="1" x14ac:dyDescent="0.2">
      <c r="A39" s="918"/>
      <c r="B39" s="924"/>
      <c r="C39" s="403" t="s">
        <v>255</v>
      </c>
      <c r="D39" s="386" t="str">
        <f t="shared" ref="D39:O39" si="10">IF(D38="","",D38-D35)</f>
        <v/>
      </c>
      <c r="E39" s="391" t="str">
        <f t="shared" si="10"/>
        <v/>
      </c>
      <c r="F39" s="386" t="str">
        <f t="shared" si="10"/>
        <v/>
      </c>
      <c r="G39" s="384" t="str">
        <f t="shared" si="10"/>
        <v/>
      </c>
      <c r="H39" s="388" t="str">
        <f t="shared" si="10"/>
        <v/>
      </c>
      <c r="I39" s="386" t="str">
        <f t="shared" si="10"/>
        <v/>
      </c>
      <c r="J39" s="384" t="str">
        <f t="shared" si="10"/>
        <v/>
      </c>
      <c r="K39" s="389" t="str">
        <f t="shared" si="10"/>
        <v/>
      </c>
      <c r="L39" s="386" t="str">
        <f t="shared" si="10"/>
        <v/>
      </c>
      <c r="M39" s="384" t="str">
        <f t="shared" si="10"/>
        <v/>
      </c>
      <c r="N39" s="384" t="str">
        <f t="shared" si="10"/>
        <v/>
      </c>
      <c r="O39" s="399" t="str">
        <f t="shared" si="10"/>
        <v/>
      </c>
    </row>
    <row r="40" spans="1:17" s="381" customFormat="1" x14ac:dyDescent="0.2">
      <c r="A40" s="922"/>
      <c r="B40" s="404"/>
      <c r="C40" s="393"/>
      <c r="D40" s="380"/>
      <c r="E40" s="387"/>
      <c r="F40" s="380"/>
      <c r="G40" s="382"/>
      <c r="H40" s="387"/>
      <c r="I40" s="380"/>
      <c r="J40" s="382"/>
      <c r="K40" s="387"/>
      <c r="L40" s="380"/>
      <c r="M40" s="382"/>
      <c r="N40" s="382"/>
      <c r="O40" s="393"/>
    </row>
    <row r="41" spans="1:17" x14ac:dyDescent="0.2">
      <c r="A41" s="918">
        <v>7</v>
      </c>
      <c r="B41" s="919"/>
      <c r="C41" s="419"/>
      <c r="D41" s="420"/>
      <c r="E41" s="421"/>
      <c r="F41" s="420"/>
      <c r="G41" s="422"/>
      <c r="H41" s="423"/>
      <c r="I41" s="420"/>
      <c r="J41" s="424"/>
      <c r="K41" s="423"/>
      <c r="L41" s="420"/>
      <c r="M41" s="422"/>
      <c r="N41" s="424"/>
      <c r="O41" s="425"/>
      <c r="Q41" t="str">
        <f t="shared" ref="Q41" si="11">IF(AND(ISBLANK(B41), ISBLANK(C41)), "X", "")</f>
        <v>X</v>
      </c>
    </row>
    <row r="42" spans="1:17" x14ac:dyDescent="0.2">
      <c r="A42" s="918"/>
      <c r="B42" s="920"/>
      <c r="C42" s="403" t="s">
        <v>255</v>
      </c>
      <c r="D42" s="386" t="str">
        <f t="shared" ref="D42:O42" si="12">IF(D41="","",D41-D38)</f>
        <v/>
      </c>
      <c r="E42" s="391" t="str">
        <f t="shared" si="12"/>
        <v/>
      </c>
      <c r="F42" s="386" t="str">
        <f t="shared" si="12"/>
        <v/>
      </c>
      <c r="G42" s="384" t="str">
        <f t="shared" si="12"/>
        <v/>
      </c>
      <c r="H42" s="388" t="str">
        <f t="shared" si="12"/>
        <v/>
      </c>
      <c r="I42" s="386" t="str">
        <f t="shared" si="12"/>
        <v/>
      </c>
      <c r="J42" s="384" t="str">
        <f t="shared" si="12"/>
        <v/>
      </c>
      <c r="K42" s="389" t="str">
        <f t="shared" si="12"/>
        <v/>
      </c>
      <c r="L42" s="386" t="str">
        <f t="shared" si="12"/>
        <v/>
      </c>
      <c r="M42" s="384" t="str">
        <f t="shared" si="12"/>
        <v/>
      </c>
      <c r="N42" s="384" t="str">
        <f t="shared" si="12"/>
        <v/>
      </c>
      <c r="O42" s="399" t="str">
        <f t="shared" si="12"/>
        <v/>
      </c>
    </row>
    <row r="43" spans="1:17" x14ac:dyDescent="0.2">
      <c r="A43" s="918"/>
      <c r="B43" s="393"/>
      <c r="C43" s="393"/>
      <c r="D43" s="380"/>
      <c r="E43" s="387"/>
      <c r="F43" s="380"/>
      <c r="G43" s="382"/>
      <c r="H43" s="387"/>
      <c r="I43" s="380"/>
      <c r="J43" s="382"/>
      <c r="K43" s="387"/>
      <c r="L43" s="380"/>
      <c r="M43" s="382"/>
      <c r="N43" s="382"/>
      <c r="O43" s="393"/>
    </row>
    <row r="44" spans="1:17" x14ac:dyDescent="0.2">
      <c r="A44" s="918">
        <v>8</v>
      </c>
      <c r="B44" s="919"/>
      <c r="C44" s="419"/>
      <c r="D44" s="420"/>
      <c r="E44" s="421"/>
      <c r="F44" s="420"/>
      <c r="G44" s="422"/>
      <c r="H44" s="423"/>
      <c r="I44" s="420"/>
      <c r="J44" s="424"/>
      <c r="K44" s="423"/>
      <c r="L44" s="420"/>
      <c r="M44" s="422"/>
      <c r="N44" s="424"/>
      <c r="O44" s="425"/>
      <c r="Q44" t="str">
        <f t="shared" ref="Q44" si="13">IF(AND(ISBLANK(B44), ISBLANK(C44)), "X", "")</f>
        <v>X</v>
      </c>
    </row>
    <row r="45" spans="1:17" x14ac:dyDescent="0.2">
      <c r="A45" s="918"/>
      <c r="B45" s="920"/>
      <c r="C45" s="403" t="s">
        <v>255</v>
      </c>
      <c r="D45" s="386" t="str">
        <f t="shared" ref="D45:O45" si="14">IF(D44="","",D44-D41)</f>
        <v/>
      </c>
      <c r="E45" s="391" t="str">
        <f t="shared" si="14"/>
        <v/>
      </c>
      <c r="F45" s="386" t="str">
        <f t="shared" si="14"/>
        <v/>
      </c>
      <c r="G45" s="384" t="str">
        <f t="shared" si="14"/>
        <v/>
      </c>
      <c r="H45" s="388" t="str">
        <f t="shared" si="14"/>
        <v/>
      </c>
      <c r="I45" s="386" t="str">
        <f t="shared" si="14"/>
        <v/>
      </c>
      <c r="J45" s="384" t="str">
        <f t="shared" si="14"/>
        <v/>
      </c>
      <c r="K45" s="389" t="str">
        <f t="shared" si="14"/>
        <v/>
      </c>
      <c r="L45" s="386" t="str">
        <f t="shared" si="14"/>
        <v/>
      </c>
      <c r="M45" s="384" t="str">
        <f t="shared" si="14"/>
        <v/>
      </c>
      <c r="N45" s="384" t="str">
        <f t="shared" si="14"/>
        <v/>
      </c>
      <c r="O45" s="399" t="str">
        <f t="shared" si="14"/>
        <v/>
      </c>
    </row>
    <row r="46" spans="1:17" x14ac:dyDescent="0.2">
      <c r="A46" s="918"/>
      <c r="B46" s="393"/>
      <c r="C46" s="393"/>
      <c r="D46" s="380"/>
      <c r="E46" s="387"/>
      <c r="F46" s="380"/>
      <c r="G46" s="382"/>
      <c r="H46" s="387"/>
      <c r="I46" s="380"/>
      <c r="J46" s="382"/>
      <c r="K46" s="387"/>
      <c r="L46" s="380"/>
      <c r="M46" s="382"/>
      <c r="N46" s="382"/>
      <c r="O46" s="393"/>
    </row>
    <row r="47" spans="1:17" x14ac:dyDescent="0.2">
      <c r="A47" s="918">
        <v>9</v>
      </c>
      <c r="B47" s="919"/>
      <c r="C47" s="419"/>
      <c r="D47" s="420"/>
      <c r="E47" s="421"/>
      <c r="F47" s="420"/>
      <c r="G47" s="422"/>
      <c r="H47" s="423"/>
      <c r="I47" s="420"/>
      <c r="J47" s="424"/>
      <c r="K47" s="423"/>
      <c r="L47" s="420"/>
      <c r="M47" s="422"/>
      <c r="N47" s="424"/>
      <c r="O47" s="425"/>
      <c r="Q47" t="str">
        <f t="shared" ref="Q47" si="15">IF(AND(ISBLANK(B47), ISBLANK(C47)), "X", "")</f>
        <v>X</v>
      </c>
    </row>
    <row r="48" spans="1:17" x14ac:dyDescent="0.2">
      <c r="A48" s="918"/>
      <c r="B48" s="920"/>
      <c r="C48" s="403" t="s">
        <v>255</v>
      </c>
      <c r="D48" s="386" t="str">
        <f t="shared" ref="D48:O48" si="16">IF(D47="","",D47-D44)</f>
        <v/>
      </c>
      <c r="E48" s="391" t="str">
        <f t="shared" si="16"/>
        <v/>
      </c>
      <c r="F48" s="386" t="str">
        <f t="shared" si="16"/>
        <v/>
      </c>
      <c r="G48" s="384" t="str">
        <f t="shared" si="16"/>
        <v/>
      </c>
      <c r="H48" s="388" t="str">
        <f t="shared" si="16"/>
        <v/>
      </c>
      <c r="I48" s="386" t="str">
        <f t="shared" si="16"/>
        <v/>
      </c>
      <c r="J48" s="384" t="str">
        <f t="shared" si="16"/>
        <v/>
      </c>
      <c r="K48" s="389" t="str">
        <f t="shared" si="16"/>
        <v/>
      </c>
      <c r="L48" s="386" t="str">
        <f t="shared" si="16"/>
        <v/>
      </c>
      <c r="M48" s="384" t="str">
        <f t="shared" si="16"/>
        <v/>
      </c>
      <c r="N48" s="384" t="str">
        <f t="shared" si="16"/>
        <v/>
      </c>
      <c r="O48" s="399" t="str">
        <f t="shared" si="16"/>
        <v/>
      </c>
    </row>
    <row r="49" spans="1:17" x14ac:dyDescent="0.2">
      <c r="A49" s="918"/>
      <c r="B49" s="393"/>
      <c r="C49" s="393"/>
      <c r="D49" s="380"/>
      <c r="E49" s="387"/>
      <c r="F49" s="380"/>
      <c r="G49" s="382"/>
      <c r="H49" s="387"/>
      <c r="I49" s="380"/>
      <c r="J49" s="382"/>
      <c r="K49" s="387"/>
      <c r="L49" s="380"/>
      <c r="M49" s="382"/>
      <c r="N49" s="382"/>
      <c r="O49" s="393"/>
    </row>
    <row r="50" spans="1:17" x14ac:dyDescent="0.2">
      <c r="A50" s="918">
        <v>10</v>
      </c>
      <c r="B50" s="919"/>
      <c r="C50" s="419"/>
      <c r="D50" s="420"/>
      <c r="E50" s="421"/>
      <c r="F50" s="420"/>
      <c r="G50" s="422"/>
      <c r="H50" s="423"/>
      <c r="I50" s="420"/>
      <c r="J50" s="424"/>
      <c r="K50" s="423"/>
      <c r="L50" s="420"/>
      <c r="M50" s="422"/>
      <c r="N50" s="424"/>
      <c r="O50" s="425"/>
      <c r="Q50" t="str">
        <f t="shared" ref="Q50" si="17">IF(AND(ISBLANK(B50), ISBLANK(C50)), "X", "")</f>
        <v>X</v>
      </c>
    </row>
    <row r="51" spans="1:17" x14ac:dyDescent="0.2">
      <c r="A51" s="918"/>
      <c r="B51" s="920"/>
      <c r="C51" s="403" t="s">
        <v>255</v>
      </c>
      <c r="D51" s="386" t="str">
        <f t="shared" ref="D51:O51" si="18">IF(D50="","",D50-D47)</f>
        <v/>
      </c>
      <c r="E51" s="391" t="str">
        <f t="shared" si="18"/>
        <v/>
      </c>
      <c r="F51" s="386" t="str">
        <f t="shared" si="18"/>
        <v/>
      </c>
      <c r="G51" s="384" t="str">
        <f t="shared" si="18"/>
        <v/>
      </c>
      <c r="H51" s="388" t="str">
        <f t="shared" si="18"/>
        <v/>
      </c>
      <c r="I51" s="386" t="str">
        <f t="shared" si="18"/>
        <v/>
      </c>
      <c r="J51" s="384" t="str">
        <f t="shared" si="18"/>
        <v/>
      </c>
      <c r="K51" s="389" t="str">
        <f t="shared" si="18"/>
        <v/>
      </c>
      <c r="L51" s="386" t="str">
        <f t="shared" si="18"/>
        <v/>
      </c>
      <c r="M51" s="384" t="str">
        <f t="shared" si="18"/>
        <v/>
      </c>
      <c r="N51" s="384" t="str">
        <f t="shared" si="18"/>
        <v/>
      </c>
      <c r="O51" s="399" t="str">
        <f t="shared" si="18"/>
        <v/>
      </c>
    </row>
    <row r="52" spans="1:17" x14ac:dyDescent="0.2">
      <c r="A52" s="918"/>
      <c r="B52" s="393"/>
      <c r="C52" s="393"/>
      <c r="D52" s="380"/>
      <c r="E52" s="387"/>
      <c r="F52" s="380"/>
      <c r="G52" s="382"/>
      <c r="H52" s="387"/>
      <c r="I52" s="380"/>
      <c r="J52" s="382"/>
      <c r="K52" s="387"/>
      <c r="L52" s="380"/>
      <c r="M52" s="382"/>
      <c r="N52" s="382"/>
      <c r="O52" s="393"/>
    </row>
    <row r="53" spans="1:17" x14ac:dyDescent="0.2">
      <c r="A53" s="918">
        <v>11</v>
      </c>
      <c r="B53" s="919"/>
      <c r="C53" s="419"/>
      <c r="D53" s="420"/>
      <c r="E53" s="421"/>
      <c r="F53" s="420"/>
      <c r="G53" s="422"/>
      <c r="H53" s="423"/>
      <c r="I53" s="420"/>
      <c r="J53" s="424"/>
      <c r="K53" s="423"/>
      <c r="L53" s="420"/>
      <c r="M53" s="422"/>
      <c r="N53" s="424"/>
      <c r="O53" s="425"/>
      <c r="Q53" t="str">
        <f t="shared" ref="Q53" si="19">IF(AND(ISBLANK(B53), ISBLANK(C53)), "X", "")</f>
        <v>X</v>
      </c>
    </row>
    <row r="54" spans="1:17" x14ac:dyDescent="0.2">
      <c r="A54" s="918"/>
      <c r="B54" s="920"/>
      <c r="C54" s="403" t="s">
        <v>255</v>
      </c>
      <c r="D54" s="386" t="str">
        <f t="shared" ref="D54:O54" si="20">IF(D53="","",D53-D50)</f>
        <v/>
      </c>
      <c r="E54" s="391" t="str">
        <f t="shared" si="20"/>
        <v/>
      </c>
      <c r="F54" s="386" t="str">
        <f t="shared" si="20"/>
        <v/>
      </c>
      <c r="G54" s="384" t="str">
        <f t="shared" si="20"/>
        <v/>
      </c>
      <c r="H54" s="388" t="str">
        <f t="shared" si="20"/>
        <v/>
      </c>
      <c r="I54" s="386" t="str">
        <f t="shared" si="20"/>
        <v/>
      </c>
      <c r="J54" s="384" t="str">
        <f t="shared" si="20"/>
        <v/>
      </c>
      <c r="K54" s="389" t="str">
        <f t="shared" si="20"/>
        <v/>
      </c>
      <c r="L54" s="386" t="str">
        <f t="shared" si="20"/>
        <v/>
      </c>
      <c r="M54" s="384" t="str">
        <f t="shared" si="20"/>
        <v/>
      </c>
      <c r="N54" s="384" t="str">
        <f t="shared" si="20"/>
        <v/>
      </c>
      <c r="O54" s="399" t="str">
        <f t="shared" si="20"/>
        <v/>
      </c>
    </row>
    <row r="55" spans="1:17" x14ac:dyDescent="0.2">
      <c r="A55" s="918"/>
      <c r="B55" s="393"/>
      <c r="C55" s="393"/>
      <c r="D55" s="380"/>
      <c r="E55" s="387"/>
      <c r="F55" s="380"/>
      <c r="G55" s="382"/>
      <c r="H55" s="387"/>
      <c r="I55" s="380"/>
      <c r="J55" s="382"/>
      <c r="K55" s="387"/>
      <c r="L55" s="380"/>
      <c r="M55" s="382"/>
      <c r="N55" s="382"/>
      <c r="O55" s="393"/>
    </row>
    <row r="56" spans="1:17" x14ac:dyDescent="0.2">
      <c r="A56" s="918">
        <v>12</v>
      </c>
      <c r="B56" s="919"/>
      <c r="C56" s="419"/>
      <c r="D56" s="420"/>
      <c r="E56" s="421"/>
      <c r="F56" s="420"/>
      <c r="G56" s="422"/>
      <c r="H56" s="423"/>
      <c r="I56" s="420"/>
      <c r="J56" s="424"/>
      <c r="K56" s="423"/>
      <c r="L56" s="420"/>
      <c r="M56" s="422"/>
      <c r="N56" s="424"/>
      <c r="O56" s="425"/>
      <c r="Q56" t="str">
        <f t="shared" ref="Q56" si="21">IF(AND(ISBLANK(B56), ISBLANK(C56)), "X", "")</f>
        <v>X</v>
      </c>
    </row>
    <row r="57" spans="1:17" x14ac:dyDescent="0.2">
      <c r="A57" s="918"/>
      <c r="B57" s="920"/>
      <c r="C57" s="403" t="s">
        <v>255</v>
      </c>
      <c r="D57" s="386" t="str">
        <f t="shared" ref="D57:O57" si="22">IF(D56="","",D56-D53)</f>
        <v/>
      </c>
      <c r="E57" s="391" t="str">
        <f t="shared" si="22"/>
        <v/>
      </c>
      <c r="F57" s="386" t="str">
        <f t="shared" si="22"/>
        <v/>
      </c>
      <c r="G57" s="384" t="str">
        <f t="shared" si="22"/>
        <v/>
      </c>
      <c r="H57" s="388" t="str">
        <f t="shared" si="22"/>
        <v/>
      </c>
      <c r="I57" s="386" t="str">
        <f t="shared" si="22"/>
        <v/>
      </c>
      <c r="J57" s="384" t="str">
        <f t="shared" si="22"/>
        <v/>
      </c>
      <c r="K57" s="389" t="str">
        <f t="shared" si="22"/>
        <v/>
      </c>
      <c r="L57" s="386" t="str">
        <f t="shared" si="22"/>
        <v/>
      </c>
      <c r="M57" s="384" t="str">
        <f t="shared" si="22"/>
        <v/>
      </c>
      <c r="N57" s="384" t="str">
        <f t="shared" si="22"/>
        <v/>
      </c>
      <c r="O57" s="399" t="str">
        <f t="shared" si="22"/>
        <v/>
      </c>
    </row>
    <row r="58" spans="1:17" x14ac:dyDescent="0.2">
      <c r="A58" s="918"/>
      <c r="B58" s="393"/>
      <c r="C58" s="393"/>
      <c r="D58" s="380"/>
      <c r="E58" s="387"/>
      <c r="F58" s="380"/>
      <c r="G58" s="382"/>
      <c r="H58" s="387"/>
      <c r="I58" s="380"/>
      <c r="J58" s="382"/>
      <c r="K58" s="387"/>
      <c r="L58" s="380"/>
      <c r="M58" s="382"/>
      <c r="N58" s="382"/>
      <c r="O58" s="393"/>
    </row>
    <row r="59" spans="1:17" x14ac:dyDescent="0.2">
      <c r="A59" s="918">
        <v>13</v>
      </c>
      <c r="B59" s="919"/>
      <c r="C59" s="419"/>
      <c r="D59" s="420"/>
      <c r="E59" s="421"/>
      <c r="F59" s="420"/>
      <c r="G59" s="422"/>
      <c r="H59" s="423"/>
      <c r="I59" s="420"/>
      <c r="J59" s="424"/>
      <c r="K59" s="423"/>
      <c r="L59" s="420"/>
      <c r="M59" s="422"/>
      <c r="N59" s="424"/>
      <c r="O59" s="425"/>
      <c r="Q59" t="str">
        <f t="shared" ref="Q59" si="23">IF(AND(ISBLANK(B59), ISBLANK(C59)), "X", "")</f>
        <v>X</v>
      </c>
    </row>
    <row r="60" spans="1:17" x14ac:dyDescent="0.2">
      <c r="A60" s="918"/>
      <c r="B60" s="920"/>
      <c r="C60" s="403" t="s">
        <v>255</v>
      </c>
      <c r="D60" s="386" t="str">
        <f t="shared" ref="D60:O60" si="24">IF(D59="","",D59-D56)</f>
        <v/>
      </c>
      <c r="E60" s="391" t="str">
        <f t="shared" si="24"/>
        <v/>
      </c>
      <c r="F60" s="386" t="str">
        <f t="shared" si="24"/>
        <v/>
      </c>
      <c r="G60" s="384" t="str">
        <f t="shared" si="24"/>
        <v/>
      </c>
      <c r="H60" s="388" t="str">
        <f t="shared" si="24"/>
        <v/>
      </c>
      <c r="I60" s="386" t="str">
        <f t="shared" si="24"/>
        <v/>
      </c>
      <c r="J60" s="384" t="str">
        <f t="shared" si="24"/>
        <v/>
      </c>
      <c r="K60" s="389" t="str">
        <f t="shared" si="24"/>
        <v/>
      </c>
      <c r="L60" s="386" t="str">
        <f t="shared" si="24"/>
        <v/>
      </c>
      <c r="M60" s="384" t="str">
        <f t="shared" si="24"/>
        <v/>
      </c>
      <c r="N60" s="384" t="str">
        <f t="shared" si="24"/>
        <v/>
      </c>
      <c r="O60" s="399" t="str">
        <f t="shared" si="24"/>
        <v/>
      </c>
    </row>
    <row r="61" spans="1:17" x14ac:dyDescent="0.2">
      <c r="A61" s="918"/>
      <c r="B61" s="393"/>
      <c r="C61" s="393"/>
      <c r="D61" s="380"/>
      <c r="E61" s="387"/>
      <c r="F61" s="380"/>
      <c r="G61" s="382"/>
      <c r="H61" s="387"/>
      <c r="I61" s="380"/>
      <c r="J61" s="382"/>
      <c r="K61" s="387"/>
      <c r="L61" s="380"/>
      <c r="M61" s="382"/>
      <c r="N61" s="382"/>
      <c r="O61" s="393"/>
    </row>
    <row r="62" spans="1:17" x14ac:dyDescent="0.2">
      <c r="A62" s="918">
        <v>14</v>
      </c>
      <c r="B62" s="919"/>
      <c r="C62" s="419"/>
      <c r="D62" s="420"/>
      <c r="E62" s="421"/>
      <c r="F62" s="420"/>
      <c r="G62" s="422"/>
      <c r="H62" s="423"/>
      <c r="I62" s="420"/>
      <c r="J62" s="424"/>
      <c r="K62" s="423"/>
      <c r="L62" s="420"/>
      <c r="M62" s="422"/>
      <c r="N62" s="424"/>
      <c r="O62" s="425"/>
      <c r="Q62" t="str">
        <f t="shared" ref="Q62" si="25">IF(AND(ISBLANK(B62), ISBLANK(C62)), "X", "")</f>
        <v>X</v>
      </c>
    </row>
    <row r="63" spans="1:17" x14ac:dyDescent="0.2">
      <c r="A63" s="918"/>
      <c r="B63" s="920"/>
      <c r="C63" s="403" t="s">
        <v>255</v>
      </c>
      <c r="D63" s="386" t="str">
        <f t="shared" ref="D63:O63" si="26">IF(D62="","",D62-D59)</f>
        <v/>
      </c>
      <c r="E63" s="391" t="str">
        <f t="shared" si="26"/>
        <v/>
      </c>
      <c r="F63" s="386" t="str">
        <f t="shared" si="26"/>
        <v/>
      </c>
      <c r="G63" s="384" t="str">
        <f t="shared" si="26"/>
        <v/>
      </c>
      <c r="H63" s="388" t="str">
        <f t="shared" si="26"/>
        <v/>
      </c>
      <c r="I63" s="386" t="str">
        <f t="shared" si="26"/>
        <v/>
      </c>
      <c r="J63" s="384" t="str">
        <f t="shared" si="26"/>
        <v/>
      </c>
      <c r="K63" s="389" t="str">
        <f t="shared" si="26"/>
        <v/>
      </c>
      <c r="L63" s="386" t="str">
        <f t="shared" si="26"/>
        <v/>
      </c>
      <c r="M63" s="384" t="str">
        <f t="shared" si="26"/>
        <v/>
      </c>
      <c r="N63" s="384" t="str">
        <f t="shared" si="26"/>
        <v/>
      </c>
      <c r="O63" s="399" t="str">
        <f t="shared" si="26"/>
        <v/>
      </c>
    </row>
    <row r="64" spans="1:17" x14ac:dyDescent="0.2">
      <c r="A64" s="918"/>
      <c r="B64" s="393"/>
      <c r="C64" s="393"/>
      <c r="D64" s="380"/>
      <c r="E64" s="387"/>
      <c r="F64" s="380"/>
      <c r="G64" s="382"/>
      <c r="H64" s="387"/>
      <c r="I64" s="380"/>
      <c r="J64" s="382"/>
      <c r="K64" s="387"/>
      <c r="L64" s="380"/>
      <c r="M64" s="382"/>
      <c r="N64" s="382"/>
      <c r="O64" s="393"/>
    </row>
    <row r="65" spans="1:18" x14ac:dyDescent="0.2">
      <c r="A65" s="918">
        <v>15</v>
      </c>
      <c r="B65" s="919"/>
      <c r="C65" s="419"/>
      <c r="D65" s="420"/>
      <c r="E65" s="421"/>
      <c r="F65" s="420"/>
      <c r="G65" s="422"/>
      <c r="H65" s="423"/>
      <c r="I65" s="420"/>
      <c r="J65" s="424"/>
      <c r="K65" s="423"/>
      <c r="L65" s="420"/>
      <c r="M65" s="422"/>
      <c r="N65" s="424"/>
      <c r="O65" s="425"/>
      <c r="Q65" t="str">
        <f t="shared" ref="Q65" si="27">IF(AND(ISBLANK(B65), ISBLANK(C65)), "X", "")</f>
        <v>X</v>
      </c>
    </row>
    <row r="66" spans="1:18" x14ac:dyDescent="0.2">
      <c r="A66" s="918"/>
      <c r="B66" s="920"/>
      <c r="C66" s="403" t="s">
        <v>255</v>
      </c>
      <c r="D66" s="386" t="str">
        <f t="shared" ref="D66:O66" si="28">IF(D65="","",D65-D62)</f>
        <v/>
      </c>
      <c r="E66" s="391" t="str">
        <f t="shared" si="28"/>
        <v/>
      </c>
      <c r="F66" s="386" t="str">
        <f t="shared" si="28"/>
        <v/>
      </c>
      <c r="G66" s="384" t="str">
        <f t="shared" si="28"/>
        <v/>
      </c>
      <c r="H66" s="388" t="str">
        <f t="shared" si="28"/>
        <v/>
      </c>
      <c r="I66" s="386" t="str">
        <f t="shared" si="28"/>
        <v/>
      </c>
      <c r="J66" s="384" t="str">
        <f t="shared" si="28"/>
        <v/>
      </c>
      <c r="K66" s="389" t="str">
        <f t="shared" si="28"/>
        <v/>
      </c>
      <c r="L66" s="386" t="str">
        <f t="shared" si="28"/>
        <v/>
      </c>
      <c r="M66" s="384" t="str">
        <f t="shared" si="28"/>
        <v/>
      </c>
      <c r="N66" s="384" t="str">
        <f t="shared" si="28"/>
        <v/>
      </c>
      <c r="O66" s="399" t="str">
        <f t="shared" si="28"/>
        <v/>
      </c>
    </row>
    <row r="67" spans="1:18" x14ac:dyDescent="0.2">
      <c r="A67" s="918"/>
      <c r="B67" s="393"/>
      <c r="C67" s="393"/>
      <c r="D67" s="380"/>
      <c r="E67" s="387"/>
      <c r="F67" s="380"/>
      <c r="G67" s="382"/>
      <c r="H67" s="387"/>
      <c r="I67" s="380"/>
      <c r="J67" s="382"/>
      <c r="K67" s="387"/>
      <c r="L67" s="380"/>
      <c r="M67" s="382"/>
      <c r="N67" s="382"/>
      <c r="O67" s="393"/>
    </row>
    <row r="68" spans="1:18" x14ac:dyDescent="0.2">
      <c r="A68" s="918">
        <v>16</v>
      </c>
      <c r="B68" s="919"/>
      <c r="C68" s="419"/>
      <c r="D68" s="420"/>
      <c r="E68" s="421"/>
      <c r="F68" s="420"/>
      <c r="G68" s="422"/>
      <c r="H68" s="423"/>
      <c r="I68" s="420"/>
      <c r="J68" s="424"/>
      <c r="K68" s="423"/>
      <c r="L68" s="420"/>
      <c r="M68" s="422"/>
      <c r="N68" s="424"/>
      <c r="O68" s="425"/>
      <c r="Q68" t="str">
        <f t="shared" ref="Q68" si="29">IF(AND(ISBLANK(B68), ISBLANK(C68)), "X", "")</f>
        <v>X</v>
      </c>
    </row>
    <row r="69" spans="1:18" x14ac:dyDescent="0.2">
      <c r="A69" s="918"/>
      <c r="B69" s="920"/>
      <c r="C69" s="403" t="s">
        <v>255</v>
      </c>
      <c r="D69" s="386" t="str">
        <f t="shared" ref="D69:O69" si="30">IF(D68="","",D68-D65)</f>
        <v/>
      </c>
      <c r="E69" s="391" t="str">
        <f t="shared" si="30"/>
        <v/>
      </c>
      <c r="F69" s="386" t="str">
        <f t="shared" si="30"/>
        <v/>
      </c>
      <c r="G69" s="384" t="str">
        <f t="shared" si="30"/>
        <v/>
      </c>
      <c r="H69" s="388" t="str">
        <f t="shared" si="30"/>
        <v/>
      </c>
      <c r="I69" s="386" t="str">
        <f t="shared" si="30"/>
        <v/>
      </c>
      <c r="J69" s="384" t="str">
        <f t="shared" si="30"/>
        <v/>
      </c>
      <c r="K69" s="389" t="str">
        <f t="shared" si="30"/>
        <v/>
      </c>
      <c r="L69" s="386" t="str">
        <f t="shared" si="30"/>
        <v/>
      </c>
      <c r="M69" s="384" t="str">
        <f t="shared" si="30"/>
        <v/>
      </c>
      <c r="N69" s="384" t="str">
        <f t="shared" si="30"/>
        <v/>
      </c>
      <c r="O69" s="399" t="str">
        <f t="shared" si="30"/>
        <v/>
      </c>
    </row>
    <row r="70" spans="1:18" ht="12" customHeight="1" x14ac:dyDescent="0.2">
      <c r="A70" s="918"/>
      <c r="B70" s="393"/>
      <c r="C70" s="393"/>
      <c r="D70" s="380"/>
      <c r="E70" s="387"/>
      <c r="F70" s="380"/>
      <c r="G70" s="382"/>
      <c r="H70" s="387"/>
      <c r="I70" s="380"/>
      <c r="J70" s="382"/>
      <c r="K70" s="387"/>
      <c r="L70" s="380"/>
      <c r="M70" s="382"/>
      <c r="N70" s="382"/>
      <c r="O70" s="393"/>
    </row>
    <row r="71" spans="1:18" x14ac:dyDescent="0.2">
      <c r="A71" s="918">
        <v>17</v>
      </c>
      <c r="B71" s="919"/>
      <c r="C71" s="419"/>
      <c r="D71" s="420"/>
      <c r="E71" s="421"/>
      <c r="F71" s="420"/>
      <c r="G71" s="422"/>
      <c r="H71" s="423"/>
      <c r="I71" s="420"/>
      <c r="J71" s="424"/>
      <c r="K71" s="423"/>
      <c r="L71" s="420"/>
      <c r="M71" s="422"/>
      <c r="N71" s="424"/>
      <c r="O71" s="425"/>
      <c r="Q71" t="str">
        <f t="shared" ref="Q71" si="31">IF(AND(ISBLANK(B71), ISBLANK(C71)), "X", "")</f>
        <v>X</v>
      </c>
    </row>
    <row r="72" spans="1:18" x14ac:dyDescent="0.2">
      <c r="A72" s="918"/>
      <c r="B72" s="920"/>
      <c r="C72" s="403" t="s">
        <v>255</v>
      </c>
      <c r="D72" s="386" t="str">
        <f t="shared" ref="D72:O72" si="32">IF(D71="","",D71-D68)</f>
        <v/>
      </c>
      <c r="E72" s="391" t="str">
        <f t="shared" si="32"/>
        <v/>
      </c>
      <c r="F72" s="386" t="str">
        <f t="shared" si="32"/>
        <v/>
      </c>
      <c r="G72" s="384" t="str">
        <f t="shared" si="32"/>
        <v/>
      </c>
      <c r="H72" s="388" t="str">
        <f t="shared" si="32"/>
        <v/>
      </c>
      <c r="I72" s="386" t="str">
        <f t="shared" si="32"/>
        <v/>
      </c>
      <c r="J72" s="384" t="str">
        <f t="shared" si="32"/>
        <v/>
      </c>
      <c r="K72" s="389" t="str">
        <f t="shared" si="32"/>
        <v/>
      </c>
      <c r="L72" s="386" t="str">
        <f t="shared" si="32"/>
        <v/>
      </c>
      <c r="M72" s="384" t="str">
        <f t="shared" si="32"/>
        <v/>
      </c>
      <c r="N72" s="384" t="str">
        <f t="shared" si="32"/>
        <v/>
      </c>
      <c r="O72" s="399" t="str">
        <f t="shared" si="32"/>
        <v/>
      </c>
    </row>
    <row r="73" spans="1:18" x14ac:dyDescent="0.2">
      <c r="A73" s="918"/>
      <c r="B73" s="393"/>
      <c r="C73" s="393"/>
      <c r="D73" s="380"/>
      <c r="E73" s="387"/>
      <c r="F73" s="380"/>
      <c r="G73" s="382"/>
      <c r="H73" s="387"/>
      <c r="I73" s="380"/>
      <c r="J73" s="382"/>
      <c r="K73" s="387"/>
      <c r="L73" s="380"/>
      <c r="M73" s="382"/>
      <c r="N73" s="382"/>
      <c r="O73" s="393"/>
    </row>
    <row r="74" spans="1:18" x14ac:dyDescent="0.2">
      <c r="A74" s="918">
        <v>18</v>
      </c>
      <c r="B74" s="919"/>
      <c r="C74" s="419"/>
      <c r="D74" s="420"/>
      <c r="E74" s="421"/>
      <c r="F74" s="420"/>
      <c r="G74" s="422"/>
      <c r="H74" s="423"/>
      <c r="I74" s="420"/>
      <c r="J74" s="424"/>
      <c r="K74" s="423"/>
      <c r="L74" s="420"/>
      <c r="M74" s="422"/>
      <c r="N74" s="424"/>
      <c r="O74" s="425"/>
      <c r="Q74" t="str">
        <f t="shared" ref="Q74" si="33">IF(AND(ISBLANK(B74), ISBLANK(C74)), "X", "")</f>
        <v>X</v>
      </c>
    </row>
    <row r="75" spans="1:18" x14ac:dyDescent="0.2">
      <c r="A75" s="918"/>
      <c r="B75" s="920"/>
      <c r="C75" s="403" t="s">
        <v>255</v>
      </c>
      <c r="D75" s="386" t="str">
        <f t="shared" ref="D75:O75" si="34">IF(D74="","",D74-D71)</f>
        <v/>
      </c>
      <c r="E75" s="391" t="str">
        <f t="shared" si="34"/>
        <v/>
      </c>
      <c r="F75" s="386" t="str">
        <f t="shared" si="34"/>
        <v/>
      </c>
      <c r="G75" s="384" t="str">
        <f t="shared" si="34"/>
        <v/>
      </c>
      <c r="H75" s="388" t="str">
        <f t="shared" si="34"/>
        <v/>
      </c>
      <c r="I75" s="386" t="str">
        <f t="shared" si="34"/>
        <v/>
      </c>
      <c r="J75" s="384" t="str">
        <f t="shared" si="34"/>
        <v/>
      </c>
      <c r="K75" s="389" t="str">
        <f t="shared" si="34"/>
        <v/>
      </c>
      <c r="L75" s="386" t="str">
        <f t="shared" si="34"/>
        <v/>
      </c>
      <c r="M75" s="384" t="str">
        <f t="shared" si="34"/>
        <v/>
      </c>
      <c r="N75" s="384" t="str">
        <f t="shared" si="34"/>
        <v/>
      </c>
      <c r="O75" s="399" t="str">
        <f t="shared" si="34"/>
        <v/>
      </c>
    </row>
    <row r="76" spans="1:18" x14ac:dyDescent="0.2">
      <c r="A76" s="918"/>
      <c r="B76" s="393"/>
      <c r="C76" s="393"/>
      <c r="D76" s="380"/>
      <c r="E76" s="387"/>
      <c r="F76" s="380"/>
      <c r="G76" s="382"/>
      <c r="H76" s="387"/>
      <c r="I76" s="380"/>
      <c r="J76" s="382"/>
      <c r="K76" s="387"/>
      <c r="L76" s="380"/>
      <c r="M76" s="382"/>
      <c r="N76" s="382"/>
      <c r="O76" s="393"/>
      <c r="R76" t="s">
        <v>256</v>
      </c>
    </row>
    <row r="77" spans="1:18" x14ac:dyDescent="0.2">
      <c r="A77" s="918">
        <v>19</v>
      </c>
      <c r="B77" s="919"/>
      <c r="C77" s="419"/>
      <c r="D77" s="420"/>
      <c r="E77" s="421"/>
      <c r="F77" s="420"/>
      <c r="G77" s="422"/>
      <c r="H77" s="423"/>
      <c r="I77" s="420"/>
      <c r="J77" s="424"/>
      <c r="K77" s="423"/>
      <c r="L77" s="420"/>
      <c r="M77" s="422"/>
      <c r="N77" s="424"/>
      <c r="O77" s="425"/>
      <c r="Q77" t="str">
        <f t="shared" ref="Q77" si="35">IF(AND(ISBLANK(B77), ISBLANK(C77)), "X", "")</f>
        <v>X</v>
      </c>
    </row>
    <row r="78" spans="1:18" x14ac:dyDescent="0.2">
      <c r="A78" s="918"/>
      <c r="B78" s="920"/>
      <c r="C78" s="403" t="s">
        <v>255</v>
      </c>
      <c r="D78" s="386" t="str">
        <f t="shared" ref="D78:O78" si="36">IF(D77="","",D77-D74)</f>
        <v/>
      </c>
      <c r="E78" s="391" t="str">
        <f t="shared" si="36"/>
        <v/>
      </c>
      <c r="F78" s="386" t="str">
        <f t="shared" si="36"/>
        <v/>
      </c>
      <c r="G78" s="384" t="str">
        <f t="shared" si="36"/>
        <v/>
      </c>
      <c r="H78" s="388" t="str">
        <f t="shared" si="36"/>
        <v/>
      </c>
      <c r="I78" s="386" t="str">
        <f t="shared" si="36"/>
        <v/>
      </c>
      <c r="J78" s="384" t="str">
        <f t="shared" si="36"/>
        <v/>
      </c>
      <c r="K78" s="389" t="str">
        <f t="shared" si="36"/>
        <v/>
      </c>
      <c r="L78" s="386" t="str">
        <f t="shared" si="36"/>
        <v/>
      </c>
      <c r="M78" s="384" t="str">
        <f t="shared" si="36"/>
        <v/>
      </c>
      <c r="N78" s="384" t="str">
        <f t="shared" si="36"/>
        <v/>
      </c>
      <c r="O78" s="399" t="str">
        <f t="shared" si="36"/>
        <v/>
      </c>
    </row>
    <row r="79" spans="1:18" x14ac:dyDescent="0.2">
      <c r="A79" s="918"/>
      <c r="B79" s="393"/>
      <c r="C79" s="393"/>
      <c r="D79" s="380"/>
      <c r="E79" s="387"/>
      <c r="F79" s="380"/>
      <c r="G79" s="382"/>
      <c r="H79" s="387"/>
      <c r="I79" s="380"/>
      <c r="J79" s="382"/>
      <c r="K79" s="387"/>
      <c r="L79" s="380"/>
      <c r="M79" s="382"/>
      <c r="N79" s="382"/>
      <c r="O79" s="393"/>
    </row>
    <row r="80" spans="1:18" x14ac:dyDescent="0.2">
      <c r="A80" s="918">
        <v>20</v>
      </c>
      <c r="B80" s="919"/>
      <c r="C80" s="419"/>
      <c r="D80" s="420"/>
      <c r="E80" s="421"/>
      <c r="F80" s="420"/>
      <c r="G80" s="422"/>
      <c r="H80" s="423"/>
      <c r="I80" s="420"/>
      <c r="J80" s="424"/>
      <c r="K80" s="423"/>
      <c r="L80" s="420"/>
      <c r="M80" s="422"/>
      <c r="N80" s="424"/>
      <c r="O80" s="425"/>
      <c r="Q80" t="str">
        <f t="shared" ref="Q80" si="37">IF(AND(ISBLANK(B80), ISBLANK(C80)), "X", "")</f>
        <v>X</v>
      </c>
    </row>
    <row r="81" spans="1:17" x14ac:dyDescent="0.2">
      <c r="A81" s="918"/>
      <c r="B81" s="920"/>
      <c r="C81" s="403" t="s">
        <v>255</v>
      </c>
      <c r="D81" s="386" t="str">
        <f t="shared" ref="D81:O81" si="38">IF(D80="","",D80-D77)</f>
        <v/>
      </c>
      <c r="E81" s="391" t="str">
        <f t="shared" si="38"/>
        <v/>
      </c>
      <c r="F81" s="386" t="str">
        <f t="shared" si="38"/>
        <v/>
      </c>
      <c r="G81" s="384" t="str">
        <f t="shared" si="38"/>
        <v/>
      </c>
      <c r="H81" s="388" t="str">
        <f t="shared" si="38"/>
        <v/>
      </c>
      <c r="I81" s="386" t="str">
        <f t="shared" si="38"/>
        <v/>
      </c>
      <c r="J81" s="384" t="str">
        <f t="shared" si="38"/>
        <v/>
      </c>
      <c r="K81" s="389" t="str">
        <f t="shared" si="38"/>
        <v/>
      </c>
      <c r="L81" s="386" t="str">
        <f t="shared" si="38"/>
        <v/>
      </c>
      <c r="M81" s="384" t="str">
        <f t="shared" si="38"/>
        <v/>
      </c>
      <c r="N81" s="384" t="str">
        <f t="shared" si="38"/>
        <v/>
      </c>
      <c r="O81" s="399" t="str">
        <f t="shared" si="38"/>
        <v/>
      </c>
    </row>
    <row r="82" spans="1:17" x14ac:dyDescent="0.2">
      <c r="A82" s="918"/>
      <c r="B82" s="393"/>
      <c r="C82" s="393"/>
      <c r="D82" s="380"/>
      <c r="E82" s="387"/>
      <c r="F82" s="380"/>
      <c r="G82" s="382"/>
      <c r="H82" s="387"/>
      <c r="I82" s="380"/>
      <c r="J82" s="382"/>
      <c r="K82" s="387"/>
      <c r="L82" s="380"/>
      <c r="M82" s="382"/>
      <c r="N82" s="382"/>
      <c r="O82" s="393"/>
    </row>
    <row r="83" spans="1:17" x14ac:dyDescent="0.2">
      <c r="A83" s="918">
        <v>21</v>
      </c>
      <c r="B83" s="919"/>
      <c r="C83" s="419"/>
      <c r="D83" s="420"/>
      <c r="E83" s="421"/>
      <c r="F83" s="420"/>
      <c r="G83" s="422"/>
      <c r="H83" s="423"/>
      <c r="I83" s="420"/>
      <c r="J83" s="424"/>
      <c r="K83" s="423"/>
      <c r="L83" s="420"/>
      <c r="M83" s="422"/>
      <c r="N83" s="424"/>
      <c r="O83" s="425"/>
      <c r="Q83" t="str">
        <f t="shared" ref="Q83" si="39">IF(AND(ISBLANK(B83), ISBLANK(C83)), "X", "")</f>
        <v>X</v>
      </c>
    </row>
    <row r="84" spans="1:17" x14ac:dyDescent="0.2">
      <c r="A84" s="918"/>
      <c r="B84" s="920"/>
      <c r="C84" s="403" t="s">
        <v>255</v>
      </c>
      <c r="D84" s="386" t="str">
        <f t="shared" ref="D84:O84" si="40">IF(D83="","",D83-D80)</f>
        <v/>
      </c>
      <c r="E84" s="391" t="str">
        <f t="shared" si="40"/>
        <v/>
      </c>
      <c r="F84" s="386" t="str">
        <f t="shared" si="40"/>
        <v/>
      </c>
      <c r="G84" s="384" t="str">
        <f t="shared" si="40"/>
        <v/>
      </c>
      <c r="H84" s="388" t="str">
        <f t="shared" si="40"/>
        <v/>
      </c>
      <c r="I84" s="386" t="str">
        <f t="shared" si="40"/>
        <v/>
      </c>
      <c r="J84" s="384" t="str">
        <f t="shared" si="40"/>
        <v/>
      </c>
      <c r="K84" s="389" t="str">
        <f t="shared" si="40"/>
        <v/>
      </c>
      <c r="L84" s="386" t="str">
        <f t="shared" si="40"/>
        <v/>
      </c>
      <c r="M84" s="384" t="str">
        <f t="shared" si="40"/>
        <v/>
      </c>
      <c r="N84" s="384" t="str">
        <f t="shared" si="40"/>
        <v/>
      </c>
      <c r="O84" s="399" t="str">
        <f t="shared" si="40"/>
        <v/>
      </c>
    </row>
    <row r="85" spans="1:17" x14ac:dyDescent="0.2">
      <c r="A85" s="918"/>
      <c r="B85" s="393"/>
      <c r="C85" s="393"/>
      <c r="D85" s="380"/>
      <c r="E85" s="387"/>
      <c r="F85" s="380"/>
      <c r="G85" s="382"/>
      <c r="H85" s="387"/>
      <c r="I85" s="380"/>
      <c r="J85" s="382"/>
      <c r="K85" s="387"/>
      <c r="L85" s="380"/>
      <c r="M85" s="382"/>
      <c r="N85" s="382"/>
      <c r="O85" s="393"/>
    </row>
    <row r="86" spans="1:17" x14ac:dyDescent="0.2">
      <c r="A86" s="918">
        <v>22</v>
      </c>
      <c r="B86" s="919"/>
      <c r="C86" s="419"/>
      <c r="D86" s="420"/>
      <c r="E86" s="421"/>
      <c r="F86" s="420"/>
      <c r="G86" s="422"/>
      <c r="H86" s="423"/>
      <c r="I86" s="420"/>
      <c r="J86" s="424"/>
      <c r="K86" s="423"/>
      <c r="L86" s="420"/>
      <c r="M86" s="422"/>
      <c r="N86" s="424"/>
      <c r="O86" s="425"/>
      <c r="Q86" t="str">
        <f t="shared" ref="Q86" si="41">IF(AND(ISBLANK(B86), ISBLANK(C86)), "X", "")</f>
        <v>X</v>
      </c>
    </row>
    <row r="87" spans="1:17" x14ac:dyDescent="0.2">
      <c r="A87" s="918"/>
      <c r="B87" s="920"/>
      <c r="C87" s="403" t="s">
        <v>255</v>
      </c>
      <c r="D87" s="386" t="str">
        <f t="shared" ref="D87:O87" si="42">IF(D86="","",D86-D83)</f>
        <v/>
      </c>
      <c r="E87" s="391" t="str">
        <f t="shared" si="42"/>
        <v/>
      </c>
      <c r="F87" s="386" t="str">
        <f t="shared" si="42"/>
        <v/>
      </c>
      <c r="G87" s="384" t="str">
        <f t="shared" si="42"/>
        <v/>
      </c>
      <c r="H87" s="388" t="str">
        <f t="shared" si="42"/>
        <v/>
      </c>
      <c r="I87" s="386" t="str">
        <f t="shared" si="42"/>
        <v/>
      </c>
      <c r="J87" s="384" t="str">
        <f t="shared" si="42"/>
        <v/>
      </c>
      <c r="K87" s="389" t="str">
        <f t="shared" si="42"/>
        <v/>
      </c>
      <c r="L87" s="386" t="str">
        <f t="shared" si="42"/>
        <v/>
      </c>
      <c r="M87" s="384" t="str">
        <f t="shared" si="42"/>
        <v/>
      </c>
      <c r="N87" s="384" t="str">
        <f t="shared" si="42"/>
        <v/>
      </c>
      <c r="O87" s="399" t="str">
        <f t="shared" si="42"/>
        <v/>
      </c>
    </row>
    <row r="88" spans="1:17" x14ac:dyDescent="0.2">
      <c r="A88" s="918"/>
      <c r="B88" s="393"/>
      <c r="C88" s="393"/>
      <c r="D88" s="380"/>
      <c r="E88" s="387"/>
      <c r="F88" s="380"/>
      <c r="G88" s="382"/>
      <c r="H88" s="387"/>
      <c r="I88" s="380"/>
      <c r="J88" s="382"/>
      <c r="K88" s="387"/>
      <c r="L88" s="380"/>
      <c r="M88" s="382"/>
      <c r="N88" s="382"/>
      <c r="O88" s="393"/>
    </row>
    <row r="89" spans="1:17" x14ac:dyDescent="0.2">
      <c r="A89" s="918">
        <v>23</v>
      </c>
      <c r="B89" s="919"/>
      <c r="C89" s="419"/>
      <c r="D89" s="420"/>
      <c r="E89" s="421"/>
      <c r="F89" s="420"/>
      <c r="G89" s="422"/>
      <c r="H89" s="423"/>
      <c r="I89" s="420"/>
      <c r="J89" s="424"/>
      <c r="K89" s="423"/>
      <c r="L89" s="420"/>
      <c r="M89" s="422"/>
      <c r="N89" s="424"/>
      <c r="O89" s="425"/>
      <c r="Q89" t="str">
        <f t="shared" ref="Q89" si="43">IF(AND(ISBLANK(B89), ISBLANK(C89)), "X", "")</f>
        <v>X</v>
      </c>
    </row>
    <row r="90" spans="1:17" x14ac:dyDescent="0.2">
      <c r="A90" s="918"/>
      <c r="B90" s="920"/>
      <c r="C90" s="403" t="s">
        <v>255</v>
      </c>
      <c r="D90" s="386" t="str">
        <f t="shared" ref="D90:O90" si="44">IF(D89="","",D89-D86)</f>
        <v/>
      </c>
      <c r="E90" s="391" t="str">
        <f t="shared" si="44"/>
        <v/>
      </c>
      <c r="F90" s="386" t="str">
        <f t="shared" si="44"/>
        <v/>
      </c>
      <c r="G90" s="384" t="str">
        <f t="shared" si="44"/>
        <v/>
      </c>
      <c r="H90" s="388" t="str">
        <f t="shared" si="44"/>
        <v/>
      </c>
      <c r="I90" s="386" t="str">
        <f t="shared" si="44"/>
        <v/>
      </c>
      <c r="J90" s="384" t="str">
        <f t="shared" si="44"/>
        <v/>
      </c>
      <c r="K90" s="389" t="str">
        <f t="shared" si="44"/>
        <v/>
      </c>
      <c r="L90" s="386" t="str">
        <f t="shared" si="44"/>
        <v/>
      </c>
      <c r="M90" s="384" t="str">
        <f t="shared" si="44"/>
        <v/>
      </c>
      <c r="N90" s="384" t="str">
        <f t="shared" si="44"/>
        <v/>
      </c>
      <c r="O90" s="399" t="str">
        <f t="shared" si="44"/>
        <v/>
      </c>
    </row>
    <row r="91" spans="1:17" x14ac:dyDescent="0.2">
      <c r="A91" s="918"/>
      <c r="B91" s="393"/>
      <c r="C91" s="393"/>
      <c r="D91" s="380"/>
      <c r="E91" s="387"/>
      <c r="F91" s="380"/>
      <c r="G91" s="382"/>
      <c r="H91" s="387"/>
      <c r="I91" s="380"/>
      <c r="J91" s="382"/>
      <c r="K91" s="387"/>
      <c r="L91" s="380"/>
      <c r="M91" s="382"/>
      <c r="N91" s="382"/>
      <c r="O91" s="393"/>
    </row>
    <row r="92" spans="1:17" x14ac:dyDescent="0.2">
      <c r="A92" s="918">
        <v>24</v>
      </c>
      <c r="B92" s="919"/>
      <c r="C92" s="419"/>
      <c r="D92" s="420"/>
      <c r="E92" s="421"/>
      <c r="F92" s="420"/>
      <c r="G92" s="422"/>
      <c r="H92" s="423"/>
      <c r="I92" s="420"/>
      <c r="J92" s="424"/>
      <c r="K92" s="423"/>
      <c r="L92" s="420"/>
      <c r="M92" s="422"/>
      <c r="N92" s="424"/>
      <c r="O92" s="425"/>
      <c r="Q92" t="str">
        <f t="shared" ref="Q92" si="45">IF(AND(ISBLANK(B92), ISBLANK(C92)), "X", "")</f>
        <v>X</v>
      </c>
    </row>
    <row r="93" spans="1:17" x14ac:dyDescent="0.2">
      <c r="A93" s="918"/>
      <c r="B93" s="920"/>
      <c r="C93" s="403" t="s">
        <v>255</v>
      </c>
      <c r="D93" s="386" t="str">
        <f t="shared" ref="D93:O93" si="46">IF(D92="","",D92-D89)</f>
        <v/>
      </c>
      <c r="E93" s="391" t="str">
        <f t="shared" si="46"/>
        <v/>
      </c>
      <c r="F93" s="386" t="str">
        <f t="shared" si="46"/>
        <v/>
      </c>
      <c r="G93" s="384" t="str">
        <f t="shared" si="46"/>
        <v/>
      </c>
      <c r="H93" s="388" t="str">
        <f t="shared" si="46"/>
        <v/>
      </c>
      <c r="I93" s="386" t="str">
        <f t="shared" si="46"/>
        <v/>
      </c>
      <c r="J93" s="384" t="str">
        <f t="shared" si="46"/>
        <v/>
      </c>
      <c r="K93" s="389" t="str">
        <f t="shared" si="46"/>
        <v/>
      </c>
      <c r="L93" s="386" t="str">
        <f t="shared" si="46"/>
        <v/>
      </c>
      <c r="M93" s="384" t="str">
        <f t="shared" si="46"/>
        <v/>
      </c>
      <c r="N93" s="384" t="str">
        <f t="shared" si="46"/>
        <v/>
      </c>
      <c r="O93" s="399" t="str">
        <f t="shared" si="46"/>
        <v/>
      </c>
    </row>
    <row r="94" spans="1:17" x14ac:dyDescent="0.2">
      <c r="A94" s="918"/>
      <c r="B94" s="393"/>
      <c r="C94" s="393"/>
      <c r="D94" s="380"/>
      <c r="E94" s="387"/>
      <c r="F94" s="380"/>
      <c r="G94" s="382"/>
      <c r="H94" s="387"/>
      <c r="I94" s="380"/>
      <c r="J94" s="382"/>
      <c r="K94" s="387"/>
      <c r="L94" s="380"/>
      <c r="M94" s="382"/>
      <c r="N94" s="382"/>
      <c r="O94" s="393"/>
    </row>
    <row r="95" spans="1:17" x14ac:dyDescent="0.2">
      <c r="A95" s="918">
        <v>25</v>
      </c>
      <c r="B95" s="919"/>
      <c r="C95" s="419"/>
      <c r="D95" s="420"/>
      <c r="E95" s="421"/>
      <c r="F95" s="420"/>
      <c r="G95" s="422"/>
      <c r="H95" s="423"/>
      <c r="I95" s="420"/>
      <c r="J95" s="424"/>
      <c r="K95" s="423"/>
      <c r="L95" s="420"/>
      <c r="M95" s="422"/>
      <c r="N95" s="424"/>
      <c r="O95" s="425"/>
      <c r="Q95" t="str">
        <f t="shared" ref="Q95" si="47">IF(AND(ISBLANK(B95), ISBLANK(C95)), "X", "")</f>
        <v>X</v>
      </c>
    </row>
    <row r="96" spans="1:17" x14ac:dyDescent="0.2">
      <c r="A96" s="918"/>
      <c r="B96" s="920"/>
      <c r="C96" s="403" t="s">
        <v>255</v>
      </c>
      <c r="D96" s="386" t="str">
        <f t="shared" ref="D96:O96" si="48">IF(D95="","",D95-D92)</f>
        <v/>
      </c>
      <c r="E96" s="391" t="str">
        <f t="shared" si="48"/>
        <v/>
      </c>
      <c r="F96" s="386" t="str">
        <f t="shared" si="48"/>
        <v/>
      </c>
      <c r="G96" s="384" t="str">
        <f t="shared" si="48"/>
        <v/>
      </c>
      <c r="H96" s="388" t="str">
        <f t="shared" si="48"/>
        <v/>
      </c>
      <c r="I96" s="386" t="str">
        <f t="shared" si="48"/>
        <v/>
      </c>
      <c r="J96" s="384" t="str">
        <f t="shared" si="48"/>
        <v/>
      </c>
      <c r="K96" s="389" t="str">
        <f t="shared" si="48"/>
        <v/>
      </c>
      <c r="L96" s="386" t="str">
        <f t="shared" si="48"/>
        <v/>
      </c>
      <c r="M96" s="384" t="str">
        <f t="shared" si="48"/>
        <v/>
      </c>
      <c r="N96" s="384" t="str">
        <f t="shared" si="48"/>
        <v/>
      </c>
      <c r="O96" s="399" t="str">
        <f t="shared" si="48"/>
        <v/>
      </c>
    </row>
    <row r="97" spans="1:17" x14ac:dyDescent="0.2">
      <c r="A97" s="918"/>
      <c r="B97" s="393"/>
      <c r="C97" s="393"/>
      <c r="D97" s="380"/>
      <c r="E97" s="387"/>
      <c r="F97" s="380"/>
      <c r="G97" s="382"/>
      <c r="H97" s="387"/>
      <c r="I97" s="380"/>
      <c r="J97" s="382"/>
      <c r="K97" s="387"/>
      <c r="L97" s="380"/>
      <c r="M97" s="382"/>
      <c r="N97" s="382"/>
      <c r="O97" s="393"/>
    </row>
    <row r="98" spans="1:17" x14ac:dyDescent="0.2">
      <c r="A98" s="918">
        <v>26</v>
      </c>
      <c r="B98" s="919"/>
      <c r="C98" s="419"/>
      <c r="D98" s="420"/>
      <c r="E98" s="421"/>
      <c r="F98" s="420"/>
      <c r="G98" s="422"/>
      <c r="H98" s="423"/>
      <c r="I98" s="420"/>
      <c r="J98" s="424"/>
      <c r="K98" s="423"/>
      <c r="L98" s="420"/>
      <c r="M98" s="422"/>
      <c r="N98" s="424"/>
      <c r="O98" s="425"/>
      <c r="Q98" t="str">
        <f t="shared" ref="Q98" si="49">IF(AND(ISBLANK(B98), ISBLANK(C98)), "X", "")</f>
        <v>X</v>
      </c>
    </row>
    <row r="99" spans="1:17" x14ac:dyDescent="0.2">
      <c r="A99" s="918"/>
      <c r="B99" s="920"/>
      <c r="C99" s="403" t="s">
        <v>255</v>
      </c>
      <c r="D99" s="386" t="str">
        <f t="shared" ref="D99:O99" si="50">IF(D98="","",D98-D95)</f>
        <v/>
      </c>
      <c r="E99" s="391" t="str">
        <f t="shared" si="50"/>
        <v/>
      </c>
      <c r="F99" s="386" t="str">
        <f t="shared" si="50"/>
        <v/>
      </c>
      <c r="G99" s="384" t="str">
        <f t="shared" si="50"/>
        <v/>
      </c>
      <c r="H99" s="388" t="str">
        <f t="shared" si="50"/>
        <v/>
      </c>
      <c r="I99" s="386" t="str">
        <f t="shared" si="50"/>
        <v/>
      </c>
      <c r="J99" s="384" t="str">
        <f t="shared" si="50"/>
        <v/>
      </c>
      <c r="K99" s="389" t="str">
        <f t="shared" si="50"/>
        <v/>
      </c>
      <c r="L99" s="386" t="str">
        <f t="shared" si="50"/>
        <v/>
      </c>
      <c r="M99" s="384" t="str">
        <f t="shared" si="50"/>
        <v/>
      </c>
      <c r="N99" s="384" t="str">
        <f t="shared" si="50"/>
        <v/>
      </c>
      <c r="O99" s="399" t="str">
        <f t="shared" si="50"/>
        <v/>
      </c>
    </row>
    <row r="100" spans="1:17" x14ac:dyDescent="0.2">
      <c r="A100" s="918"/>
      <c r="B100" s="393"/>
      <c r="C100" s="393"/>
      <c r="D100" s="380"/>
      <c r="E100" s="387"/>
      <c r="F100" s="380"/>
      <c r="G100" s="382"/>
      <c r="H100" s="387"/>
      <c r="I100" s="380"/>
      <c r="J100" s="382"/>
      <c r="K100" s="387"/>
      <c r="L100" s="380"/>
      <c r="M100" s="382"/>
      <c r="N100" s="382"/>
      <c r="O100" s="393"/>
    </row>
    <row r="101" spans="1:17" x14ac:dyDescent="0.2">
      <c r="A101" s="918">
        <v>27</v>
      </c>
      <c r="B101" s="919"/>
      <c r="C101" s="419"/>
      <c r="D101" s="420"/>
      <c r="E101" s="421"/>
      <c r="F101" s="420"/>
      <c r="G101" s="422"/>
      <c r="H101" s="423"/>
      <c r="I101" s="420"/>
      <c r="J101" s="424"/>
      <c r="K101" s="423"/>
      <c r="L101" s="420"/>
      <c r="M101" s="422"/>
      <c r="N101" s="424"/>
      <c r="O101" s="425"/>
      <c r="Q101" t="str">
        <f t="shared" ref="Q101" si="51">IF(AND(ISBLANK(B101), ISBLANK(C101)), "X", "")</f>
        <v>X</v>
      </c>
    </row>
    <row r="102" spans="1:17" x14ac:dyDescent="0.2">
      <c r="A102" s="918"/>
      <c r="B102" s="920"/>
      <c r="C102" s="403" t="s">
        <v>255</v>
      </c>
      <c r="D102" s="386" t="str">
        <f t="shared" ref="D102:O102" si="52">IF(D101="","",D101-D98)</f>
        <v/>
      </c>
      <c r="E102" s="391" t="str">
        <f t="shared" si="52"/>
        <v/>
      </c>
      <c r="F102" s="386" t="str">
        <f t="shared" si="52"/>
        <v/>
      </c>
      <c r="G102" s="384" t="str">
        <f t="shared" si="52"/>
        <v/>
      </c>
      <c r="H102" s="388" t="str">
        <f t="shared" si="52"/>
        <v/>
      </c>
      <c r="I102" s="386" t="str">
        <f t="shared" si="52"/>
        <v/>
      </c>
      <c r="J102" s="384" t="str">
        <f t="shared" si="52"/>
        <v/>
      </c>
      <c r="K102" s="389" t="str">
        <f t="shared" si="52"/>
        <v/>
      </c>
      <c r="L102" s="386" t="str">
        <f t="shared" si="52"/>
        <v/>
      </c>
      <c r="M102" s="384" t="str">
        <f t="shared" si="52"/>
        <v/>
      </c>
      <c r="N102" s="384" t="str">
        <f t="shared" si="52"/>
        <v/>
      </c>
      <c r="O102" s="399" t="str">
        <f t="shared" si="52"/>
        <v/>
      </c>
    </row>
    <row r="103" spans="1:17" x14ac:dyDescent="0.2">
      <c r="A103" s="918"/>
      <c r="B103" s="393"/>
      <c r="C103" s="393"/>
      <c r="D103" s="380"/>
      <c r="E103" s="387"/>
      <c r="F103" s="380"/>
      <c r="G103" s="382"/>
      <c r="H103" s="387"/>
      <c r="I103" s="380"/>
      <c r="J103" s="382"/>
      <c r="K103" s="387"/>
      <c r="L103" s="380"/>
      <c r="M103" s="382"/>
      <c r="N103" s="382"/>
      <c r="O103" s="393"/>
    </row>
    <row r="104" spans="1:17" x14ac:dyDescent="0.2">
      <c r="A104" s="918">
        <v>28</v>
      </c>
      <c r="B104" s="919"/>
      <c r="C104" s="419"/>
      <c r="D104" s="420"/>
      <c r="E104" s="421"/>
      <c r="F104" s="420"/>
      <c r="G104" s="422"/>
      <c r="H104" s="423"/>
      <c r="I104" s="420"/>
      <c r="J104" s="424"/>
      <c r="K104" s="423"/>
      <c r="L104" s="420"/>
      <c r="M104" s="422"/>
      <c r="N104" s="424"/>
      <c r="O104" s="425"/>
      <c r="Q104" t="str">
        <f t="shared" ref="Q104" si="53">IF(AND(ISBLANK(B104), ISBLANK(C104)), "X", "")</f>
        <v>X</v>
      </c>
    </row>
    <row r="105" spans="1:17" x14ac:dyDescent="0.2">
      <c r="A105" s="918"/>
      <c r="B105" s="920"/>
      <c r="C105" s="403" t="s">
        <v>255</v>
      </c>
      <c r="D105" s="386" t="str">
        <f t="shared" ref="D105:O105" si="54">IF(D104="","",D104-D101)</f>
        <v/>
      </c>
      <c r="E105" s="391" t="str">
        <f t="shared" si="54"/>
        <v/>
      </c>
      <c r="F105" s="386" t="str">
        <f t="shared" si="54"/>
        <v/>
      </c>
      <c r="G105" s="384" t="str">
        <f t="shared" si="54"/>
        <v/>
      </c>
      <c r="H105" s="388" t="str">
        <f t="shared" si="54"/>
        <v/>
      </c>
      <c r="I105" s="386" t="str">
        <f t="shared" si="54"/>
        <v/>
      </c>
      <c r="J105" s="384" t="str">
        <f t="shared" si="54"/>
        <v/>
      </c>
      <c r="K105" s="389" t="str">
        <f t="shared" si="54"/>
        <v/>
      </c>
      <c r="L105" s="386" t="str">
        <f t="shared" si="54"/>
        <v/>
      </c>
      <c r="M105" s="384" t="str">
        <f t="shared" si="54"/>
        <v/>
      </c>
      <c r="N105" s="384" t="str">
        <f t="shared" si="54"/>
        <v/>
      </c>
      <c r="O105" s="399" t="str">
        <f t="shared" si="54"/>
        <v/>
      </c>
    </row>
    <row r="106" spans="1:17" x14ac:dyDescent="0.2">
      <c r="A106" s="918"/>
      <c r="B106" s="393"/>
      <c r="C106" s="393"/>
      <c r="D106" s="380"/>
      <c r="E106" s="387"/>
      <c r="F106" s="380"/>
      <c r="G106" s="382"/>
      <c r="H106" s="387"/>
      <c r="I106" s="380"/>
      <c r="J106" s="382"/>
      <c r="K106" s="387"/>
      <c r="L106" s="380"/>
      <c r="M106" s="382"/>
      <c r="N106" s="382"/>
      <c r="O106" s="393"/>
    </row>
    <row r="107" spans="1:17" x14ac:dyDescent="0.2">
      <c r="A107" s="918">
        <v>29</v>
      </c>
      <c r="B107" s="919"/>
      <c r="C107" s="419"/>
      <c r="D107" s="420"/>
      <c r="E107" s="421"/>
      <c r="F107" s="420"/>
      <c r="G107" s="422"/>
      <c r="H107" s="423"/>
      <c r="I107" s="420"/>
      <c r="J107" s="424"/>
      <c r="K107" s="423"/>
      <c r="L107" s="420"/>
      <c r="M107" s="422"/>
      <c r="N107" s="424"/>
      <c r="O107" s="425"/>
      <c r="Q107" t="str">
        <f t="shared" ref="Q107" si="55">IF(AND(ISBLANK(B107), ISBLANK(C107)), "X", "")</f>
        <v>X</v>
      </c>
    </row>
    <row r="108" spans="1:17" x14ac:dyDescent="0.2">
      <c r="A108" s="918"/>
      <c r="B108" s="920"/>
      <c r="C108" s="403" t="s">
        <v>255</v>
      </c>
      <c r="D108" s="386" t="str">
        <f t="shared" ref="D108:O108" si="56">IF(D107="","",D107-D104)</f>
        <v/>
      </c>
      <c r="E108" s="391" t="str">
        <f t="shared" si="56"/>
        <v/>
      </c>
      <c r="F108" s="386" t="str">
        <f t="shared" si="56"/>
        <v/>
      </c>
      <c r="G108" s="384" t="str">
        <f t="shared" si="56"/>
        <v/>
      </c>
      <c r="H108" s="388" t="str">
        <f t="shared" si="56"/>
        <v/>
      </c>
      <c r="I108" s="386" t="str">
        <f t="shared" si="56"/>
        <v/>
      </c>
      <c r="J108" s="384" t="str">
        <f t="shared" si="56"/>
        <v/>
      </c>
      <c r="K108" s="389" t="str">
        <f t="shared" si="56"/>
        <v/>
      </c>
      <c r="L108" s="386" t="str">
        <f t="shared" si="56"/>
        <v/>
      </c>
      <c r="M108" s="384" t="str">
        <f t="shared" si="56"/>
        <v/>
      </c>
      <c r="N108" s="384" t="str">
        <f t="shared" si="56"/>
        <v/>
      </c>
      <c r="O108" s="399" t="str">
        <f t="shared" si="56"/>
        <v/>
      </c>
    </row>
    <row r="109" spans="1:17" x14ac:dyDescent="0.2">
      <c r="A109" s="918"/>
      <c r="B109" s="393"/>
      <c r="C109" s="393"/>
      <c r="D109" s="380"/>
      <c r="E109" s="387"/>
      <c r="F109" s="380"/>
      <c r="G109" s="382"/>
      <c r="H109" s="387"/>
      <c r="I109" s="380"/>
      <c r="J109" s="382"/>
      <c r="K109" s="387"/>
      <c r="L109" s="380"/>
      <c r="M109" s="382"/>
      <c r="N109" s="382"/>
      <c r="O109" s="393"/>
    </row>
    <row r="110" spans="1:17" x14ac:dyDescent="0.2">
      <c r="A110" s="918">
        <v>30</v>
      </c>
      <c r="B110" s="919"/>
      <c r="C110" s="419"/>
      <c r="D110" s="420"/>
      <c r="E110" s="421"/>
      <c r="F110" s="420"/>
      <c r="G110" s="422"/>
      <c r="H110" s="423"/>
      <c r="I110" s="420"/>
      <c r="J110" s="424"/>
      <c r="K110" s="423"/>
      <c r="L110" s="420"/>
      <c r="M110" s="422"/>
      <c r="N110" s="424"/>
      <c r="O110" s="425"/>
      <c r="Q110" t="str">
        <f t="shared" ref="Q110" si="57">IF(AND(ISBLANK(B110), ISBLANK(C110)), "X", "")</f>
        <v>X</v>
      </c>
    </row>
    <row r="111" spans="1:17" x14ac:dyDescent="0.2">
      <c r="A111" s="918"/>
      <c r="B111" s="920"/>
      <c r="C111" s="403" t="s">
        <v>255</v>
      </c>
      <c r="D111" s="386" t="str">
        <f t="shared" ref="D111:O111" si="58">IF(D110="","",D110-D107)</f>
        <v/>
      </c>
      <c r="E111" s="391" t="str">
        <f t="shared" si="58"/>
        <v/>
      </c>
      <c r="F111" s="386" t="str">
        <f t="shared" si="58"/>
        <v/>
      </c>
      <c r="G111" s="384" t="str">
        <f t="shared" si="58"/>
        <v/>
      </c>
      <c r="H111" s="388" t="str">
        <f t="shared" si="58"/>
        <v/>
      </c>
      <c r="I111" s="386" t="str">
        <f t="shared" si="58"/>
        <v/>
      </c>
      <c r="J111" s="384" t="str">
        <f t="shared" si="58"/>
        <v/>
      </c>
      <c r="K111" s="389" t="str">
        <f t="shared" si="58"/>
        <v/>
      </c>
      <c r="L111" s="386" t="str">
        <f t="shared" si="58"/>
        <v/>
      </c>
      <c r="M111" s="384" t="str">
        <f t="shared" si="58"/>
        <v/>
      </c>
      <c r="N111" s="384" t="str">
        <f t="shared" si="58"/>
        <v/>
      </c>
      <c r="O111" s="399" t="str">
        <f t="shared" si="58"/>
        <v/>
      </c>
    </row>
    <row r="112" spans="1:17" x14ac:dyDescent="0.2">
      <c r="A112" s="918"/>
      <c r="B112" s="393"/>
      <c r="C112" s="393"/>
      <c r="D112" s="380"/>
      <c r="E112" s="387"/>
      <c r="F112" s="380"/>
      <c r="G112" s="382"/>
      <c r="H112" s="387"/>
      <c r="I112" s="380"/>
      <c r="J112" s="382"/>
      <c r="K112" s="387"/>
      <c r="L112" s="380"/>
      <c r="M112" s="382"/>
      <c r="N112" s="382"/>
      <c r="O112" s="393"/>
    </row>
    <row r="113" spans="1:17" x14ac:dyDescent="0.2">
      <c r="A113" s="918">
        <v>31</v>
      </c>
      <c r="B113" s="919"/>
      <c r="C113" s="419"/>
      <c r="D113" s="420"/>
      <c r="E113" s="421"/>
      <c r="F113" s="420"/>
      <c r="G113" s="422"/>
      <c r="H113" s="423"/>
      <c r="I113" s="420"/>
      <c r="J113" s="424"/>
      <c r="K113" s="423"/>
      <c r="L113" s="420"/>
      <c r="M113" s="422"/>
      <c r="N113" s="424"/>
      <c r="O113" s="425"/>
      <c r="Q113" t="str">
        <f t="shared" ref="Q113" si="59">IF(AND(ISBLANK(B113), ISBLANK(C113)), "X", "")</f>
        <v>X</v>
      </c>
    </row>
    <row r="114" spans="1:17" x14ac:dyDescent="0.2">
      <c r="A114" s="918"/>
      <c r="B114" s="920"/>
      <c r="C114" s="403" t="s">
        <v>255</v>
      </c>
      <c r="D114" s="386" t="str">
        <f t="shared" ref="D114:O114" si="60">IF(D113="","",D113-D110)</f>
        <v/>
      </c>
      <c r="E114" s="391" t="str">
        <f t="shared" si="60"/>
        <v/>
      </c>
      <c r="F114" s="386" t="str">
        <f t="shared" si="60"/>
        <v/>
      </c>
      <c r="G114" s="384" t="str">
        <f t="shared" si="60"/>
        <v/>
      </c>
      <c r="H114" s="388" t="str">
        <f t="shared" si="60"/>
        <v/>
      </c>
      <c r="I114" s="386" t="str">
        <f t="shared" si="60"/>
        <v/>
      </c>
      <c r="J114" s="384" t="str">
        <f t="shared" si="60"/>
        <v/>
      </c>
      <c r="K114" s="389" t="str">
        <f t="shared" si="60"/>
        <v/>
      </c>
      <c r="L114" s="386" t="str">
        <f t="shared" si="60"/>
        <v/>
      </c>
      <c r="M114" s="384" t="str">
        <f t="shared" si="60"/>
        <v/>
      </c>
      <c r="N114" s="384" t="str">
        <f t="shared" si="60"/>
        <v/>
      </c>
      <c r="O114" s="399" t="str">
        <f t="shared" si="60"/>
        <v/>
      </c>
    </row>
    <row r="115" spans="1:17" x14ac:dyDescent="0.2">
      <c r="A115" s="918"/>
      <c r="B115" s="393"/>
      <c r="C115" s="393"/>
      <c r="D115" s="380"/>
      <c r="E115" s="387"/>
      <c r="F115" s="380"/>
      <c r="G115" s="382"/>
      <c r="H115" s="387"/>
      <c r="I115" s="380"/>
      <c r="J115" s="382"/>
      <c r="K115" s="387"/>
      <c r="L115" s="380"/>
      <c r="M115" s="382"/>
      <c r="N115" s="382"/>
      <c r="O115" s="393"/>
    </row>
    <row r="116" spans="1:17" x14ac:dyDescent="0.2">
      <c r="A116" s="918">
        <v>32</v>
      </c>
      <c r="B116" s="919"/>
      <c r="C116" s="419"/>
      <c r="D116" s="420"/>
      <c r="E116" s="421"/>
      <c r="F116" s="420"/>
      <c r="G116" s="422"/>
      <c r="H116" s="423"/>
      <c r="I116" s="420"/>
      <c r="J116" s="424"/>
      <c r="K116" s="423"/>
      <c r="L116" s="420"/>
      <c r="M116" s="422"/>
      <c r="N116" s="424"/>
      <c r="O116" s="425"/>
      <c r="Q116" t="str">
        <f t="shared" ref="Q116" si="61">IF(AND(ISBLANK(B116), ISBLANK(C116)), "X", "")</f>
        <v>X</v>
      </c>
    </row>
    <row r="117" spans="1:17" x14ac:dyDescent="0.2">
      <c r="A117" s="918"/>
      <c r="B117" s="920"/>
      <c r="C117" s="403" t="s">
        <v>255</v>
      </c>
      <c r="D117" s="386" t="str">
        <f t="shared" ref="D117:O117" si="62">IF(D116="","",D116-D113)</f>
        <v/>
      </c>
      <c r="E117" s="391" t="str">
        <f t="shared" si="62"/>
        <v/>
      </c>
      <c r="F117" s="386" t="str">
        <f t="shared" si="62"/>
        <v/>
      </c>
      <c r="G117" s="384" t="str">
        <f t="shared" si="62"/>
        <v/>
      </c>
      <c r="H117" s="388" t="str">
        <f t="shared" si="62"/>
        <v/>
      </c>
      <c r="I117" s="386" t="str">
        <f t="shared" si="62"/>
        <v/>
      </c>
      <c r="J117" s="384" t="str">
        <f t="shared" si="62"/>
        <v/>
      </c>
      <c r="K117" s="389" t="str">
        <f t="shared" si="62"/>
        <v/>
      </c>
      <c r="L117" s="386" t="str">
        <f t="shared" si="62"/>
        <v/>
      </c>
      <c r="M117" s="384" t="str">
        <f t="shared" si="62"/>
        <v/>
      </c>
      <c r="N117" s="384" t="str">
        <f t="shared" si="62"/>
        <v/>
      </c>
      <c r="O117" s="399" t="str">
        <f t="shared" si="62"/>
        <v/>
      </c>
    </row>
    <row r="118" spans="1:17" x14ac:dyDescent="0.2">
      <c r="A118" s="918"/>
      <c r="B118" s="393"/>
      <c r="C118" s="393"/>
      <c r="D118" s="380"/>
      <c r="E118" s="387"/>
      <c r="F118" s="380"/>
      <c r="G118" s="382"/>
      <c r="H118" s="387"/>
      <c r="I118" s="380"/>
      <c r="J118" s="382"/>
      <c r="K118" s="387"/>
      <c r="L118" s="380"/>
      <c r="M118" s="382"/>
      <c r="N118" s="382"/>
      <c r="O118" s="393"/>
    </row>
    <row r="119" spans="1:17" x14ac:dyDescent="0.2">
      <c r="A119" s="918">
        <v>33</v>
      </c>
      <c r="B119" s="919"/>
      <c r="C119" s="419"/>
      <c r="D119" s="420"/>
      <c r="E119" s="421"/>
      <c r="F119" s="420"/>
      <c r="G119" s="422"/>
      <c r="H119" s="423"/>
      <c r="I119" s="420"/>
      <c r="J119" s="424"/>
      <c r="K119" s="423"/>
      <c r="L119" s="420"/>
      <c r="M119" s="422"/>
      <c r="N119" s="424"/>
      <c r="O119" s="425"/>
      <c r="Q119" t="str">
        <f t="shared" ref="Q119" si="63">IF(AND(ISBLANK(B119), ISBLANK(C119)), "X", "")</f>
        <v>X</v>
      </c>
    </row>
    <row r="120" spans="1:17" x14ac:dyDescent="0.2">
      <c r="A120" s="918"/>
      <c r="B120" s="920"/>
      <c r="C120" s="403" t="s">
        <v>255</v>
      </c>
      <c r="D120" s="386" t="str">
        <f t="shared" ref="D120:O120" si="64">IF(D119="","",D119-D116)</f>
        <v/>
      </c>
      <c r="E120" s="391" t="str">
        <f t="shared" si="64"/>
        <v/>
      </c>
      <c r="F120" s="386" t="str">
        <f t="shared" si="64"/>
        <v/>
      </c>
      <c r="G120" s="384" t="str">
        <f t="shared" si="64"/>
        <v/>
      </c>
      <c r="H120" s="388" t="str">
        <f t="shared" si="64"/>
        <v/>
      </c>
      <c r="I120" s="386" t="str">
        <f t="shared" si="64"/>
        <v/>
      </c>
      <c r="J120" s="384" t="str">
        <f t="shared" si="64"/>
        <v/>
      </c>
      <c r="K120" s="389" t="str">
        <f t="shared" si="64"/>
        <v/>
      </c>
      <c r="L120" s="386" t="str">
        <f t="shared" si="64"/>
        <v/>
      </c>
      <c r="M120" s="384" t="str">
        <f t="shared" si="64"/>
        <v/>
      </c>
      <c r="N120" s="384" t="str">
        <f t="shared" si="64"/>
        <v/>
      </c>
      <c r="O120" s="399" t="str">
        <f t="shared" si="64"/>
        <v/>
      </c>
    </row>
    <row r="121" spans="1:17" x14ac:dyDescent="0.2">
      <c r="A121" s="918"/>
      <c r="B121" s="393"/>
      <c r="C121" s="393"/>
      <c r="D121" s="380"/>
      <c r="E121" s="387"/>
      <c r="F121" s="380"/>
      <c r="G121" s="382"/>
      <c r="H121" s="387"/>
      <c r="I121" s="380"/>
      <c r="J121" s="382"/>
      <c r="K121" s="387"/>
      <c r="L121" s="380"/>
      <c r="M121" s="382"/>
      <c r="N121" s="382"/>
      <c r="O121" s="393"/>
    </row>
    <row r="122" spans="1:17" x14ac:dyDescent="0.2">
      <c r="A122" s="918">
        <v>34</v>
      </c>
      <c r="B122" s="919"/>
      <c r="C122" s="419"/>
      <c r="D122" s="420"/>
      <c r="E122" s="421"/>
      <c r="F122" s="420"/>
      <c r="G122" s="422"/>
      <c r="H122" s="423"/>
      <c r="I122" s="420"/>
      <c r="J122" s="424"/>
      <c r="K122" s="423"/>
      <c r="L122" s="420"/>
      <c r="M122" s="422"/>
      <c r="N122" s="424"/>
      <c r="O122" s="425"/>
      <c r="Q122" t="str">
        <f t="shared" ref="Q122" si="65">IF(AND(ISBLANK(B122), ISBLANK(C122)), "X", "")</f>
        <v>X</v>
      </c>
    </row>
    <row r="123" spans="1:17" x14ac:dyDescent="0.2">
      <c r="A123" s="918"/>
      <c r="B123" s="920"/>
      <c r="C123" s="403" t="s">
        <v>255</v>
      </c>
      <c r="D123" s="386" t="str">
        <f t="shared" ref="D123:O123" si="66">IF(D122="","",D122-D119)</f>
        <v/>
      </c>
      <c r="E123" s="391" t="str">
        <f t="shared" si="66"/>
        <v/>
      </c>
      <c r="F123" s="386" t="str">
        <f t="shared" si="66"/>
        <v/>
      </c>
      <c r="G123" s="384" t="str">
        <f t="shared" si="66"/>
        <v/>
      </c>
      <c r="H123" s="388" t="str">
        <f t="shared" si="66"/>
        <v/>
      </c>
      <c r="I123" s="386" t="str">
        <f t="shared" si="66"/>
        <v/>
      </c>
      <c r="J123" s="384" t="str">
        <f t="shared" si="66"/>
        <v/>
      </c>
      <c r="K123" s="389" t="str">
        <f t="shared" si="66"/>
        <v/>
      </c>
      <c r="L123" s="386" t="str">
        <f t="shared" si="66"/>
        <v/>
      </c>
      <c r="M123" s="384" t="str">
        <f t="shared" si="66"/>
        <v/>
      </c>
      <c r="N123" s="384" t="str">
        <f t="shared" si="66"/>
        <v/>
      </c>
      <c r="O123" s="399" t="str">
        <f t="shared" si="66"/>
        <v/>
      </c>
    </row>
    <row r="124" spans="1:17" x14ac:dyDescent="0.2">
      <c r="A124" s="918"/>
      <c r="B124" s="393"/>
      <c r="C124" s="393"/>
      <c r="D124" s="380"/>
      <c r="E124" s="387"/>
      <c r="F124" s="380"/>
      <c r="G124" s="382"/>
      <c r="H124" s="387"/>
      <c r="I124" s="380"/>
      <c r="J124" s="382"/>
      <c r="K124" s="387"/>
      <c r="L124" s="380"/>
      <c r="M124" s="382"/>
      <c r="N124" s="382"/>
      <c r="O124" s="393"/>
    </row>
    <row r="125" spans="1:17" x14ac:dyDescent="0.2">
      <c r="A125" s="918">
        <v>35</v>
      </c>
      <c r="B125" s="919"/>
      <c r="C125" s="419"/>
      <c r="D125" s="420"/>
      <c r="E125" s="421"/>
      <c r="F125" s="420"/>
      <c r="G125" s="422"/>
      <c r="H125" s="423"/>
      <c r="I125" s="420"/>
      <c r="J125" s="424"/>
      <c r="K125" s="423"/>
      <c r="L125" s="420"/>
      <c r="M125" s="422"/>
      <c r="N125" s="424"/>
      <c r="O125" s="425"/>
      <c r="Q125" t="str">
        <f t="shared" ref="Q125" si="67">IF(AND(ISBLANK(B125), ISBLANK(C125)), "X", "")</f>
        <v>X</v>
      </c>
    </row>
    <row r="126" spans="1:17" x14ac:dyDescent="0.2">
      <c r="A126" s="918"/>
      <c r="B126" s="920"/>
      <c r="C126" s="403" t="s">
        <v>255</v>
      </c>
      <c r="D126" s="386" t="str">
        <f t="shared" ref="D126:O126" si="68">IF(D125="","",D125-D122)</f>
        <v/>
      </c>
      <c r="E126" s="391" t="str">
        <f t="shared" si="68"/>
        <v/>
      </c>
      <c r="F126" s="386" t="str">
        <f t="shared" si="68"/>
        <v/>
      </c>
      <c r="G126" s="384" t="str">
        <f t="shared" si="68"/>
        <v/>
      </c>
      <c r="H126" s="388" t="str">
        <f t="shared" si="68"/>
        <v/>
      </c>
      <c r="I126" s="386" t="str">
        <f t="shared" si="68"/>
        <v/>
      </c>
      <c r="J126" s="384" t="str">
        <f t="shared" si="68"/>
        <v/>
      </c>
      <c r="K126" s="389" t="str">
        <f t="shared" si="68"/>
        <v/>
      </c>
      <c r="L126" s="386" t="str">
        <f t="shared" si="68"/>
        <v/>
      </c>
      <c r="M126" s="384" t="str">
        <f t="shared" si="68"/>
        <v/>
      </c>
      <c r="N126" s="384" t="str">
        <f t="shared" si="68"/>
        <v/>
      </c>
      <c r="O126" s="399" t="str">
        <f t="shared" si="68"/>
        <v/>
      </c>
    </row>
    <row r="127" spans="1:17" x14ac:dyDescent="0.2">
      <c r="A127" s="918"/>
      <c r="B127" s="393"/>
      <c r="C127" s="393"/>
      <c r="D127" s="380"/>
      <c r="E127" s="387"/>
      <c r="F127" s="380"/>
      <c r="G127" s="382"/>
      <c r="H127" s="387"/>
      <c r="I127" s="380"/>
      <c r="J127" s="382"/>
      <c r="K127" s="387"/>
      <c r="L127" s="380"/>
      <c r="M127" s="382"/>
      <c r="N127" s="382"/>
      <c r="O127" s="393"/>
    </row>
    <row r="128" spans="1:17" x14ac:dyDescent="0.2">
      <c r="A128" s="918">
        <v>36</v>
      </c>
      <c r="B128" s="919"/>
      <c r="C128" s="419"/>
      <c r="D128" s="420"/>
      <c r="E128" s="421"/>
      <c r="F128" s="420"/>
      <c r="G128" s="422"/>
      <c r="H128" s="423"/>
      <c r="I128" s="420"/>
      <c r="J128" s="424"/>
      <c r="K128" s="423"/>
      <c r="L128" s="420"/>
      <c r="M128" s="422"/>
      <c r="N128" s="424"/>
      <c r="O128" s="425"/>
      <c r="Q128" t="str">
        <f t="shared" ref="Q128" si="69">IF(AND(ISBLANK(B128), ISBLANK(C128)), "X", "")</f>
        <v>X</v>
      </c>
    </row>
    <row r="129" spans="1:18" x14ac:dyDescent="0.2">
      <c r="A129" s="918"/>
      <c r="B129" s="920"/>
      <c r="C129" s="403" t="s">
        <v>255</v>
      </c>
      <c r="D129" s="386" t="str">
        <f t="shared" ref="D129:O129" si="70">IF(D128="","",D128-D125)</f>
        <v/>
      </c>
      <c r="E129" s="391" t="str">
        <f t="shared" si="70"/>
        <v/>
      </c>
      <c r="F129" s="386" t="str">
        <f t="shared" si="70"/>
        <v/>
      </c>
      <c r="G129" s="384" t="str">
        <f t="shared" si="70"/>
        <v/>
      </c>
      <c r="H129" s="388" t="str">
        <f t="shared" si="70"/>
        <v/>
      </c>
      <c r="I129" s="386" t="str">
        <f t="shared" si="70"/>
        <v/>
      </c>
      <c r="J129" s="384" t="str">
        <f t="shared" si="70"/>
        <v/>
      </c>
      <c r="K129" s="389" t="str">
        <f t="shared" si="70"/>
        <v/>
      </c>
      <c r="L129" s="386" t="str">
        <f t="shared" si="70"/>
        <v/>
      </c>
      <c r="M129" s="384" t="str">
        <f t="shared" si="70"/>
        <v/>
      </c>
      <c r="N129" s="384" t="str">
        <f t="shared" si="70"/>
        <v/>
      </c>
      <c r="O129" s="399" t="str">
        <f t="shared" si="70"/>
        <v/>
      </c>
    </row>
    <row r="130" spans="1:18" x14ac:dyDescent="0.2">
      <c r="A130" s="918"/>
      <c r="B130" s="393"/>
      <c r="C130" s="393"/>
      <c r="D130" s="380"/>
      <c r="E130" s="387"/>
      <c r="F130" s="380"/>
      <c r="G130" s="382"/>
      <c r="H130" s="387"/>
      <c r="I130" s="380"/>
      <c r="J130" s="382"/>
      <c r="K130" s="387"/>
      <c r="L130" s="380"/>
      <c r="M130" s="382"/>
      <c r="N130" s="382"/>
      <c r="O130" s="393"/>
      <c r="R130" t="s">
        <v>257</v>
      </c>
    </row>
    <row r="131" spans="1:18" x14ac:dyDescent="0.2">
      <c r="A131" s="918">
        <v>37</v>
      </c>
      <c r="B131" s="919"/>
      <c r="C131" s="419"/>
      <c r="D131" s="420"/>
      <c r="E131" s="421"/>
      <c r="F131" s="420"/>
      <c r="G131" s="422"/>
      <c r="H131" s="423"/>
      <c r="I131" s="420"/>
      <c r="J131" s="424"/>
      <c r="K131" s="423"/>
      <c r="L131" s="420"/>
      <c r="M131" s="422"/>
      <c r="N131" s="424"/>
      <c r="O131" s="425"/>
      <c r="Q131" t="str">
        <f t="shared" ref="Q131" si="71">IF(AND(ISBLANK(B131), ISBLANK(C131)), "X", "")</f>
        <v>X</v>
      </c>
    </row>
    <row r="132" spans="1:18" x14ac:dyDescent="0.2">
      <c r="A132" s="918"/>
      <c r="B132" s="920"/>
      <c r="C132" s="403" t="s">
        <v>255</v>
      </c>
      <c r="D132" s="386" t="str">
        <f t="shared" ref="D132:O132" si="72">IF(D131="","",D131-D128)</f>
        <v/>
      </c>
      <c r="E132" s="391" t="str">
        <f t="shared" si="72"/>
        <v/>
      </c>
      <c r="F132" s="386" t="str">
        <f t="shared" si="72"/>
        <v/>
      </c>
      <c r="G132" s="384" t="str">
        <f t="shared" si="72"/>
        <v/>
      </c>
      <c r="H132" s="388" t="str">
        <f t="shared" si="72"/>
        <v/>
      </c>
      <c r="I132" s="386" t="str">
        <f t="shared" si="72"/>
        <v/>
      </c>
      <c r="J132" s="384" t="str">
        <f t="shared" si="72"/>
        <v/>
      </c>
      <c r="K132" s="389" t="str">
        <f t="shared" si="72"/>
        <v/>
      </c>
      <c r="L132" s="386" t="str">
        <f t="shared" si="72"/>
        <v/>
      </c>
      <c r="M132" s="384" t="str">
        <f t="shared" si="72"/>
        <v/>
      </c>
      <c r="N132" s="384" t="str">
        <f t="shared" si="72"/>
        <v/>
      </c>
      <c r="O132" s="399" t="str">
        <f t="shared" si="72"/>
        <v/>
      </c>
    </row>
    <row r="133" spans="1:18" x14ac:dyDescent="0.2">
      <c r="A133" s="918"/>
      <c r="B133" s="393"/>
      <c r="C133" s="393"/>
      <c r="D133" s="380"/>
      <c r="E133" s="387"/>
      <c r="F133" s="380"/>
      <c r="G133" s="382"/>
      <c r="H133" s="387"/>
      <c r="I133" s="380"/>
      <c r="J133" s="382"/>
      <c r="K133" s="387"/>
      <c r="L133" s="380"/>
      <c r="M133" s="382"/>
      <c r="N133" s="382"/>
      <c r="O133" s="393"/>
    </row>
    <row r="134" spans="1:18" x14ac:dyDescent="0.2">
      <c r="A134" s="918">
        <v>38</v>
      </c>
      <c r="B134" s="919"/>
      <c r="C134" s="419"/>
      <c r="D134" s="420"/>
      <c r="E134" s="421"/>
      <c r="F134" s="420"/>
      <c r="G134" s="422"/>
      <c r="H134" s="423"/>
      <c r="I134" s="420"/>
      <c r="J134" s="424"/>
      <c r="K134" s="423"/>
      <c r="L134" s="420"/>
      <c r="M134" s="422"/>
      <c r="N134" s="424"/>
      <c r="O134" s="425"/>
      <c r="Q134" t="str">
        <f t="shared" ref="Q134" si="73">IF(AND(ISBLANK(B134), ISBLANK(C134)), "X", "")</f>
        <v>X</v>
      </c>
    </row>
    <row r="135" spans="1:18" x14ac:dyDescent="0.2">
      <c r="A135" s="918"/>
      <c r="B135" s="920"/>
      <c r="C135" s="403" t="s">
        <v>255</v>
      </c>
      <c r="D135" s="386" t="str">
        <f t="shared" ref="D135:O135" si="74">IF(D134="","",D134-D131)</f>
        <v/>
      </c>
      <c r="E135" s="391" t="str">
        <f t="shared" si="74"/>
        <v/>
      </c>
      <c r="F135" s="386" t="str">
        <f t="shared" si="74"/>
        <v/>
      </c>
      <c r="G135" s="384" t="str">
        <f t="shared" si="74"/>
        <v/>
      </c>
      <c r="H135" s="388" t="str">
        <f t="shared" si="74"/>
        <v/>
      </c>
      <c r="I135" s="386" t="str">
        <f t="shared" si="74"/>
        <v/>
      </c>
      <c r="J135" s="384" t="str">
        <f t="shared" si="74"/>
        <v/>
      </c>
      <c r="K135" s="389" t="str">
        <f t="shared" si="74"/>
        <v/>
      </c>
      <c r="L135" s="386" t="str">
        <f t="shared" si="74"/>
        <v/>
      </c>
      <c r="M135" s="384" t="str">
        <f t="shared" si="74"/>
        <v/>
      </c>
      <c r="N135" s="384" t="str">
        <f t="shared" si="74"/>
        <v/>
      </c>
      <c r="O135" s="399" t="str">
        <f t="shared" si="74"/>
        <v/>
      </c>
    </row>
    <row r="136" spans="1:18" x14ac:dyDescent="0.2">
      <c r="A136" s="918"/>
      <c r="B136" s="393"/>
      <c r="C136" s="393"/>
      <c r="D136" s="380"/>
      <c r="E136" s="387"/>
      <c r="F136" s="380"/>
      <c r="G136" s="382"/>
      <c r="H136" s="387"/>
      <c r="I136" s="380"/>
      <c r="J136" s="382"/>
      <c r="K136" s="387"/>
      <c r="L136" s="380"/>
      <c r="M136" s="382"/>
      <c r="N136" s="382"/>
      <c r="O136" s="393"/>
    </row>
    <row r="137" spans="1:18" x14ac:dyDescent="0.2">
      <c r="A137" s="918">
        <v>39</v>
      </c>
      <c r="B137" s="919"/>
      <c r="C137" s="419"/>
      <c r="D137" s="420"/>
      <c r="E137" s="421"/>
      <c r="F137" s="420"/>
      <c r="G137" s="422"/>
      <c r="H137" s="423"/>
      <c r="I137" s="420"/>
      <c r="J137" s="424"/>
      <c r="K137" s="423"/>
      <c r="L137" s="420"/>
      <c r="M137" s="422"/>
      <c r="N137" s="424"/>
      <c r="O137" s="425"/>
      <c r="Q137" t="str">
        <f t="shared" ref="Q137" si="75">IF(AND(ISBLANK(B137), ISBLANK(C137)), "X", "")</f>
        <v>X</v>
      </c>
    </row>
    <row r="138" spans="1:18" x14ac:dyDescent="0.2">
      <c r="A138" s="918"/>
      <c r="B138" s="920"/>
      <c r="C138" s="403" t="s">
        <v>255</v>
      </c>
      <c r="D138" s="386" t="str">
        <f t="shared" ref="D138:O138" si="76">IF(D137="","",D137-D134)</f>
        <v/>
      </c>
      <c r="E138" s="391" t="str">
        <f t="shared" si="76"/>
        <v/>
      </c>
      <c r="F138" s="386" t="str">
        <f t="shared" si="76"/>
        <v/>
      </c>
      <c r="G138" s="384" t="str">
        <f t="shared" si="76"/>
        <v/>
      </c>
      <c r="H138" s="388" t="str">
        <f t="shared" si="76"/>
        <v/>
      </c>
      <c r="I138" s="386" t="str">
        <f t="shared" si="76"/>
        <v/>
      </c>
      <c r="J138" s="384" t="str">
        <f t="shared" si="76"/>
        <v/>
      </c>
      <c r="K138" s="389" t="str">
        <f t="shared" si="76"/>
        <v/>
      </c>
      <c r="L138" s="386" t="str">
        <f t="shared" si="76"/>
        <v/>
      </c>
      <c r="M138" s="384" t="str">
        <f t="shared" si="76"/>
        <v/>
      </c>
      <c r="N138" s="384" t="str">
        <f t="shared" si="76"/>
        <v/>
      </c>
      <c r="O138" s="399" t="str">
        <f t="shared" si="76"/>
        <v/>
      </c>
    </row>
    <row r="139" spans="1:18" x14ac:dyDescent="0.2">
      <c r="A139" s="918"/>
      <c r="B139" s="393"/>
      <c r="C139" s="393"/>
      <c r="D139" s="380"/>
      <c r="E139" s="387"/>
      <c r="F139" s="380"/>
      <c r="G139" s="382"/>
      <c r="H139" s="387"/>
      <c r="I139" s="380"/>
      <c r="J139" s="382"/>
      <c r="K139" s="387"/>
      <c r="L139" s="380"/>
      <c r="M139" s="382"/>
      <c r="N139" s="382"/>
      <c r="O139" s="393"/>
    </row>
    <row r="140" spans="1:18" x14ac:dyDescent="0.2">
      <c r="A140" s="918">
        <v>40</v>
      </c>
      <c r="B140" s="919"/>
      <c r="C140" s="419"/>
      <c r="D140" s="420"/>
      <c r="E140" s="421"/>
      <c r="F140" s="420"/>
      <c r="G140" s="422"/>
      <c r="H140" s="423"/>
      <c r="I140" s="420"/>
      <c r="J140" s="424"/>
      <c r="K140" s="423"/>
      <c r="L140" s="420"/>
      <c r="M140" s="422"/>
      <c r="N140" s="424"/>
      <c r="O140" s="425"/>
      <c r="Q140" t="str">
        <f t="shared" ref="Q140" si="77">IF(AND(ISBLANK(B140), ISBLANK(C140)), "X", "")</f>
        <v>X</v>
      </c>
    </row>
    <row r="141" spans="1:18" x14ac:dyDescent="0.2">
      <c r="A141" s="918"/>
      <c r="B141" s="920"/>
      <c r="C141" s="403" t="s">
        <v>255</v>
      </c>
      <c r="D141" s="386" t="str">
        <f t="shared" ref="D141:O141" si="78">IF(D140="","",D140-D137)</f>
        <v/>
      </c>
      <c r="E141" s="391" t="str">
        <f t="shared" si="78"/>
        <v/>
      </c>
      <c r="F141" s="386" t="str">
        <f t="shared" si="78"/>
        <v/>
      </c>
      <c r="G141" s="384" t="str">
        <f t="shared" si="78"/>
        <v/>
      </c>
      <c r="H141" s="388" t="str">
        <f t="shared" si="78"/>
        <v/>
      </c>
      <c r="I141" s="386" t="str">
        <f t="shared" si="78"/>
        <v/>
      </c>
      <c r="J141" s="384" t="str">
        <f t="shared" si="78"/>
        <v/>
      </c>
      <c r="K141" s="389" t="str">
        <f t="shared" si="78"/>
        <v/>
      </c>
      <c r="L141" s="386" t="str">
        <f t="shared" si="78"/>
        <v/>
      </c>
      <c r="M141" s="384" t="str">
        <f t="shared" si="78"/>
        <v/>
      </c>
      <c r="N141" s="384" t="str">
        <f t="shared" si="78"/>
        <v/>
      </c>
      <c r="O141" s="399" t="str">
        <f t="shared" si="78"/>
        <v/>
      </c>
    </row>
    <row r="142" spans="1:18" x14ac:dyDescent="0.2">
      <c r="A142" s="918"/>
      <c r="B142" s="393"/>
      <c r="C142" s="393"/>
      <c r="D142" s="380"/>
      <c r="E142" s="387"/>
      <c r="F142" s="380"/>
      <c r="G142" s="382"/>
      <c r="H142" s="387"/>
      <c r="I142" s="380"/>
      <c r="J142" s="382"/>
      <c r="K142" s="387"/>
      <c r="L142" s="380"/>
      <c r="M142" s="382"/>
      <c r="N142" s="382"/>
      <c r="O142" s="393"/>
    </row>
    <row r="143" spans="1:18" x14ac:dyDescent="0.2">
      <c r="A143" s="918">
        <v>41</v>
      </c>
      <c r="B143" s="919"/>
      <c r="C143" s="419"/>
      <c r="D143" s="420"/>
      <c r="E143" s="421"/>
      <c r="F143" s="420"/>
      <c r="G143" s="422"/>
      <c r="H143" s="423"/>
      <c r="I143" s="420"/>
      <c r="J143" s="424"/>
      <c r="K143" s="423"/>
      <c r="L143" s="420"/>
      <c r="M143" s="422"/>
      <c r="N143" s="424"/>
      <c r="O143" s="425"/>
      <c r="Q143" t="str">
        <f t="shared" ref="Q143" si="79">IF(AND(ISBLANK(B143), ISBLANK(C143)), "X", "")</f>
        <v>X</v>
      </c>
    </row>
    <row r="144" spans="1:18" x14ac:dyDescent="0.2">
      <c r="A144" s="918"/>
      <c r="B144" s="920"/>
      <c r="C144" s="403" t="s">
        <v>255</v>
      </c>
      <c r="D144" s="386" t="str">
        <f t="shared" ref="D144:O144" si="80">IF(D143="","",D143-D140)</f>
        <v/>
      </c>
      <c r="E144" s="391" t="str">
        <f t="shared" si="80"/>
        <v/>
      </c>
      <c r="F144" s="386" t="str">
        <f t="shared" si="80"/>
        <v/>
      </c>
      <c r="G144" s="384" t="str">
        <f t="shared" si="80"/>
        <v/>
      </c>
      <c r="H144" s="388" t="str">
        <f t="shared" si="80"/>
        <v/>
      </c>
      <c r="I144" s="386" t="str">
        <f t="shared" si="80"/>
        <v/>
      </c>
      <c r="J144" s="384" t="str">
        <f t="shared" si="80"/>
        <v/>
      </c>
      <c r="K144" s="389" t="str">
        <f t="shared" si="80"/>
        <v/>
      </c>
      <c r="L144" s="386" t="str">
        <f t="shared" si="80"/>
        <v/>
      </c>
      <c r="M144" s="384" t="str">
        <f t="shared" si="80"/>
        <v/>
      </c>
      <c r="N144" s="384" t="str">
        <f t="shared" si="80"/>
        <v/>
      </c>
      <c r="O144" s="399" t="str">
        <f t="shared" si="80"/>
        <v/>
      </c>
    </row>
    <row r="145" spans="1:17" x14ac:dyDescent="0.2">
      <c r="A145" s="918"/>
      <c r="B145" s="393"/>
      <c r="C145" s="393"/>
      <c r="D145" s="380"/>
      <c r="E145" s="387"/>
      <c r="F145" s="380"/>
      <c r="G145" s="382"/>
      <c r="H145" s="387"/>
      <c r="I145" s="380"/>
      <c r="J145" s="382"/>
      <c r="K145" s="387"/>
      <c r="L145" s="380"/>
      <c r="M145" s="382"/>
      <c r="N145" s="382"/>
      <c r="O145" s="393"/>
    </row>
    <row r="146" spans="1:17" x14ac:dyDescent="0.2">
      <c r="A146" s="918">
        <v>42</v>
      </c>
      <c r="B146" s="919"/>
      <c r="C146" s="419"/>
      <c r="D146" s="420"/>
      <c r="E146" s="421"/>
      <c r="F146" s="420"/>
      <c r="G146" s="422"/>
      <c r="H146" s="423"/>
      <c r="I146" s="420"/>
      <c r="J146" s="424"/>
      <c r="K146" s="423"/>
      <c r="L146" s="420"/>
      <c r="M146" s="422"/>
      <c r="N146" s="424"/>
      <c r="O146" s="425"/>
      <c r="Q146" t="str">
        <f t="shared" ref="Q146" si="81">IF(AND(ISBLANK(B146), ISBLANK(C146)), "X", "")</f>
        <v>X</v>
      </c>
    </row>
    <row r="147" spans="1:17" x14ac:dyDescent="0.2">
      <c r="A147" s="918"/>
      <c r="B147" s="920"/>
      <c r="C147" s="403" t="s">
        <v>255</v>
      </c>
      <c r="D147" s="386" t="str">
        <f t="shared" ref="D147:O147" si="82">IF(D146="","",D146-D143)</f>
        <v/>
      </c>
      <c r="E147" s="391" t="str">
        <f t="shared" si="82"/>
        <v/>
      </c>
      <c r="F147" s="386" t="str">
        <f t="shared" si="82"/>
        <v/>
      </c>
      <c r="G147" s="384" t="str">
        <f t="shared" si="82"/>
        <v/>
      </c>
      <c r="H147" s="388" t="str">
        <f t="shared" si="82"/>
        <v/>
      </c>
      <c r="I147" s="386" t="str">
        <f t="shared" si="82"/>
        <v/>
      </c>
      <c r="J147" s="384" t="str">
        <f t="shared" si="82"/>
        <v/>
      </c>
      <c r="K147" s="389" t="str">
        <f t="shared" si="82"/>
        <v/>
      </c>
      <c r="L147" s="386" t="str">
        <f t="shared" si="82"/>
        <v/>
      </c>
      <c r="M147" s="384" t="str">
        <f t="shared" si="82"/>
        <v/>
      </c>
      <c r="N147" s="384" t="str">
        <f t="shared" si="82"/>
        <v/>
      </c>
      <c r="O147" s="399" t="str">
        <f t="shared" si="82"/>
        <v/>
      </c>
    </row>
    <row r="148" spans="1:17" x14ac:dyDescent="0.2">
      <c r="A148" s="918"/>
      <c r="B148" s="393"/>
      <c r="C148" s="393"/>
      <c r="D148" s="380"/>
      <c r="E148" s="387"/>
      <c r="F148" s="380"/>
      <c r="G148" s="382"/>
      <c r="H148" s="387"/>
      <c r="I148" s="380"/>
      <c r="J148" s="382"/>
      <c r="K148" s="387"/>
      <c r="L148" s="380"/>
      <c r="M148" s="382"/>
      <c r="N148" s="382"/>
      <c r="O148" s="393"/>
    </row>
    <row r="149" spans="1:17" x14ac:dyDescent="0.2">
      <c r="A149" s="918">
        <v>43</v>
      </c>
      <c r="B149" s="919"/>
      <c r="C149" s="419"/>
      <c r="D149" s="420"/>
      <c r="E149" s="421"/>
      <c r="F149" s="420"/>
      <c r="G149" s="422"/>
      <c r="H149" s="423"/>
      <c r="I149" s="420"/>
      <c r="J149" s="424"/>
      <c r="K149" s="423"/>
      <c r="L149" s="420"/>
      <c r="M149" s="422"/>
      <c r="N149" s="424"/>
      <c r="O149" s="425"/>
      <c r="Q149" t="str">
        <f t="shared" ref="Q149" si="83">IF(AND(ISBLANK(B149), ISBLANK(C149)), "X", "")</f>
        <v>X</v>
      </c>
    </row>
    <row r="150" spans="1:17" x14ac:dyDescent="0.2">
      <c r="A150" s="918"/>
      <c r="B150" s="920"/>
      <c r="C150" s="403" t="s">
        <v>255</v>
      </c>
      <c r="D150" s="386" t="str">
        <f t="shared" ref="D150:O150" si="84">IF(D149="","",D149-D146)</f>
        <v/>
      </c>
      <c r="E150" s="391" t="str">
        <f t="shared" si="84"/>
        <v/>
      </c>
      <c r="F150" s="386" t="str">
        <f t="shared" si="84"/>
        <v/>
      </c>
      <c r="G150" s="384" t="str">
        <f t="shared" si="84"/>
        <v/>
      </c>
      <c r="H150" s="388" t="str">
        <f t="shared" si="84"/>
        <v/>
      </c>
      <c r="I150" s="386" t="str">
        <f t="shared" si="84"/>
        <v/>
      </c>
      <c r="J150" s="384" t="str">
        <f t="shared" si="84"/>
        <v/>
      </c>
      <c r="K150" s="389" t="str">
        <f t="shared" si="84"/>
        <v/>
      </c>
      <c r="L150" s="386" t="str">
        <f t="shared" si="84"/>
        <v/>
      </c>
      <c r="M150" s="384" t="str">
        <f t="shared" si="84"/>
        <v/>
      </c>
      <c r="N150" s="384" t="str">
        <f t="shared" si="84"/>
        <v/>
      </c>
      <c r="O150" s="399" t="str">
        <f t="shared" si="84"/>
        <v/>
      </c>
    </row>
    <row r="151" spans="1:17" x14ac:dyDescent="0.2">
      <c r="A151" s="918"/>
      <c r="B151" s="393"/>
      <c r="C151" s="393"/>
      <c r="D151" s="380"/>
      <c r="E151" s="387"/>
      <c r="F151" s="380"/>
      <c r="G151" s="382"/>
      <c r="H151" s="387"/>
      <c r="I151" s="380"/>
      <c r="J151" s="382"/>
      <c r="K151" s="387"/>
      <c r="L151" s="380"/>
      <c r="M151" s="382"/>
      <c r="N151" s="382"/>
      <c r="O151" s="393"/>
    </row>
    <row r="152" spans="1:17" x14ac:dyDescent="0.2">
      <c r="A152" s="918">
        <v>44</v>
      </c>
      <c r="B152" s="919"/>
      <c r="C152" s="419"/>
      <c r="D152" s="420"/>
      <c r="E152" s="421"/>
      <c r="F152" s="420"/>
      <c r="G152" s="422"/>
      <c r="H152" s="423"/>
      <c r="I152" s="420"/>
      <c r="J152" s="424"/>
      <c r="K152" s="423"/>
      <c r="L152" s="420"/>
      <c r="M152" s="422"/>
      <c r="N152" s="424"/>
      <c r="O152" s="425"/>
      <c r="Q152" t="str">
        <f t="shared" ref="Q152" si="85">IF(AND(ISBLANK(B152), ISBLANK(C152)), "X", "")</f>
        <v>X</v>
      </c>
    </row>
    <row r="153" spans="1:17" x14ac:dyDescent="0.2">
      <c r="A153" s="918"/>
      <c r="B153" s="920"/>
      <c r="C153" s="403" t="s">
        <v>255</v>
      </c>
      <c r="D153" s="386" t="str">
        <f t="shared" ref="D153:O153" si="86">IF(D152="","",D152-D149)</f>
        <v/>
      </c>
      <c r="E153" s="391" t="str">
        <f t="shared" si="86"/>
        <v/>
      </c>
      <c r="F153" s="386" t="str">
        <f t="shared" si="86"/>
        <v/>
      </c>
      <c r="G153" s="384" t="str">
        <f t="shared" si="86"/>
        <v/>
      </c>
      <c r="H153" s="388" t="str">
        <f t="shared" si="86"/>
        <v/>
      </c>
      <c r="I153" s="386" t="str">
        <f t="shared" si="86"/>
        <v/>
      </c>
      <c r="J153" s="384" t="str">
        <f t="shared" si="86"/>
        <v/>
      </c>
      <c r="K153" s="389" t="str">
        <f t="shared" si="86"/>
        <v/>
      </c>
      <c r="L153" s="386" t="str">
        <f t="shared" si="86"/>
        <v/>
      </c>
      <c r="M153" s="384" t="str">
        <f t="shared" si="86"/>
        <v/>
      </c>
      <c r="N153" s="384" t="str">
        <f t="shared" si="86"/>
        <v/>
      </c>
      <c r="O153" s="399" t="str">
        <f t="shared" si="86"/>
        <v/>
      </c>
    </row>
    <row r="154" spans="1:17" x14ac:dyDescent="0.2">
      <c r="A154" s="918"/>
      <c r="B154" s="393"/>
      <c r="C154" s="393"/>
      <c r="D154" s="380"/>
      <c r="E154" s="387"/>
      <c r="F154" s="380"/>
      <c r="G154" s="382"/>
      <c r="H154" s="387"/>
      <c r="I154" s="380"/>
      <c r="J154" s="382"/>
      <c r="K154" s="387"/>
      <c r="L154" s="380"/>
      <c r="M154" s="382"/>
      <c r="N154" s="382"/>
      <c r="O154" s="393"/>
    </row>
    <row r="155" spans="1:17" x14ac:dyDescent="0.2">
      <c r="A155" s="918">
        <v>45</v>
      </c>
      <c r="B155" s="919"/>
      <c r="C155" s="419"/>
      <c r="D155" s="420"/>
      <c r="E155" s="421"/>
      <c r="F155" s="420"/>
      <c r="G155" s="422"/>
      <c r="H155" s="423"/>
      <c r="I155" s="420"/>
      <c r="J155" s="424"/>
      <c r="K155" s="423"/>
      <c r="L155" s="420"/>
      <c r="M155" s="422"/>
      <c r="N155" s="424"/>
      <c r="O155" s="425"/>
      <c r="Q155" t="str">
        <f t="shared" ref="Q155" si="87">IF(AND(ISBLANK(B155), ISBLANK(C155)), "X", "")</f>
        <v>X</v>
      </c>
    </row>
    <row r="156" spans="1:17" x14ac:dyDescent="0.2">
      <c r="A156" s="918"/>
      <c r="B156" s="920"/>
      <c r="C156" s="403" t="s">
        <v>255</v>
      </c>
      <c r="D156" s="386" t="str">
        <f t="shared" ref="D156:O156" si="88">IF(D155="","",D155-D152)</f>
        <v/>
      </c>
      <c r="E156" s="391" t="str">
        <f t="shared" si="88"/>
        <v/>
      </c>
      <c r="F156" s="386" t="str">
        <f t="shared" si="88"/>
        <v/>
      </c>
      <c r="G156" s="384" t="str">
        <f t="shared" si="88"/>
        <v/>
      </c>
      <c r="H156" s="388" t="str">
        <f t="shared" si="88"/>
        <v/>
      </c>
      <c r="I156" s="386" t="str">
        <f t="shared" si="88"/>
        <v/>
      </c>
      <c r="J156" s="384" t="str">
        <f t="shared" si="88"/>
        <v/>
      </c>
      <c r="K156" s="389" t="str">
        <f t="shared" si="88"/>
        <v/>
      </c>
      <c r="L156" s="386" t="str">
        <f t="shared" si="88"/>
        <v/>
      </c>
      <c r="M156" s="384" t="str">
        <f t="shared" si="88"/>
        <v/>
      </c>
      <c r="N156" s="384" t="str">
        <f t="shared" si="88"/>
        <v/>
      </c>
      <c r="O156" s="399" t="str">
        <f t="shared" si="88"/>
        <v/>
      </c>
    </row>
    <row r="157" spans="1:17" x14ac:dyDescent="0.2">
      <c r="A157" s="918"/>
      <c r="B157" s="393"/>
      <c r="C157" s="393"/>
      <c r="D157" s="380"/>
      <c r="E157" s="387"/>
      <c r="F157" s="380"/>
      <c r="G157" s="382"/>
      <c r="H157" s="387"/>
      <c r="I157" s="380"/>
      <c r="J157" s="382"/>
      <c r="K157" s="387"/>
      <c r="L157" s="380"/>
      <c r="M157" s="382"/>
      <c r="N157" s="382"/>
      <c r="O157" s="393"/>
    </row>
    <row r="158" spans="1:17" x14ac:dyDescent="0.2">
      <c r="A158" s="918">
        <v>46</v>
      </c>
      <c r="B158" s="919"/>
      <c r="C158" s="419"/>
      <c r="D158" s="420"/>
      <c r="E158" s="421"/>
      <c r="F158" s="420"/>
      <c r="G158" s="422"/>
      <c r="H158" s="423"/>
      <c r="I158" s="420"/>
      <c r="J158" s="424"/>
      <c r="K158" s="423"/>
      <c r="L158" s="420"/>
      <c r="M158" s="422"/>
      <c r="N158" s="424"/>
      <c r="O158" s="425"/>
      <c r="Q158" t="str">
        <f t="shared" ref="Q158" si="89">IF(AND(ISBLANK(B158), ISBLANK(C158)), "X", "")</f>
        <v>X</v>
      </c>
    </row>
    <row r="159" spans="1:17" x14ac:dyDescent="0.2">
      <c r="A159" s="918"/>
      <c r="B159" s="920"/>
      <c r="C159" s="403" t="s">
        <v>255</v>
      </c>
      <c r="D159" s="386" t="str">
        <f t="shared" ref="D159:O159" si="90">IF(D158="","",D158-D155)</f>
        <v/>
      </c>
      <c r="E159" s="391" t="str">
        <f t="shared" si="90"/>
        <v/>
      </c>
      <c r="F159" s="386" t="str">
        <f t="shared" si="90"/>
        <v/>
      </c>
      <c r="G159" s="384" t="str">
        <f t="shared" si="90"/>
        <v/>
      </c>
      <c r="H159" s="388" t="str">
        <f t="shared" si="90"/>
        <v/>
      </c>
      <c r="I159" s="386" t="str">
        <f t="shared" si="90"/>
        <v/>
      </c>
      <c r="J159" s="384" t="str">
        <f t="shared" si="90"/>
        <v/>
      </c>
      <c r="K159" s="389" t="str">
        <f t="shared" si="90"/>
        <v/>
      </c>
      <c r="L159" s="386" t="str">
        <f t="shared" si="90"/>
        <v/>
      </c>
      <c r="M159" s="384" t="str">
        <f t="shared" si="90"/>
        <v/>
      </c>
      <c r="N159" s="384" t="str">
        <f t="shared" si="90"/>
        <v/>
      </c>
      <c r="O159" s="399" t="str">
        <f t="shared" si="90"/>
        <v/>
      </c>
    </row>
    <row r="160" spans="1:17" x14ac:dyDescent="0.2">
      <c r="A160" s="918"/>
      <c r="B160" s="393"/>
      <c r="C160" s="393"/>
      <c r="D160" s="380"/>
      <c r="E160" s="387"/>
      <c r="F160" s="380"/>
      <c r="G160" s="382"/>
      <c r="H160" s="387"/>
      <c r="I160" s="380"/>
      <c r="J160" s="382"/>
      <c r="K160" s="387"/>
      <c r="L160" s="380"/>
      <c r="M160" s="382"/>
      <c r="N160" s="382"/>
      <c r="O160" s="393"/>
    </row>
    <row r="161" spans="1:17" x14ac:dyDescent="0.2">
      <c r="A161" s="918">
        <v>47</v>
      </c>
      <c r="B161" s="919"/>
      <c r="C161" s="419"/>
      <c r="D161" s="420"/>
      <c r="E161" s="421"/>
      <c r="F161" s="420"/>
      <c r="G161" s="422"/>
      <c r="H161" s="423"/>
      <c r="I161" s="420"/>
      <c r="J161" s="424"/>
      <c r="K161" s="423"/>
      <c r="L161" s="420"/>
      <c r="M161" s="422"/>
      <c r="N161" s="424"/>
      <c r="O161" s="425"/>
      <c r="Q161" t="str">
        <f t="shared" ref="Q161" si="91">IF(AND(ISBLANK(B161), ISBLANK(C161)), "X", "")</f>
        <v>X</v>
      </c>
    </row>
    <row r="162" spans="1:17" x14ac:dyDescent="0.2">
      <c r="A162" s="918"/>
      <c r="B162" s="920"/>
      <c r="C162" s="403" t="s">
        <v>255</v>
      </c>
      <c r="D162" s="386" t="str">
        <f t="shared" ref="D162:O162" si="92">IF(D161="","",D161-D158)</f>
        <v/>
      </c>
      <c r="E162" s="391" t="str">
        <f t="shared" si="92"/>
        <v/>
      </c>
      <c r="F162" s="386" t="str">
        <f t="shared" si="92"/>
        <v/>
      </c>
      <c r="G162" s="384" t="str">
        <f t="shared" si="92"/>
        <v/>
      </c>
      <c r="H162" s="388" t="str">
        <f t="shared" si="92"/>
        <v/>
      </c>
      <c r="I162" s="386" t="str">
        <f t="shared" si="92"/>
        <v/>
      </c>
      <c r="J162" s="384" t="str">
        <f t="shared" si="92"/>
        <v/>
      </c>
      <c r="K162" s="389" t="str">
        <f t="shared" si="92"/>
        <v/>
      </c>
      <c r="L162" s="386" t="str">
        <f t="shared" si="92"/>
        <v/>
      </c>
      <c r="M162" s="384" t="str">
        <f t="shared" si="92"/>
        <v/>
      </c>
      <c r="N162" s="384" t="str">
        <f t="shared" si="92"/>
        <v/>
      </c>
      <c r="O162" s="399" t="str">
        <f t="shared" si="92"/>
        <v/>
      </c>
    </row>
    <row r="163" spans="1:17" x14ac:dyDescent="0.2">
      <c r="A163" s="918"/>
      <c r="B163" s="393"/>
      <c r="C163" s="393"/>
      <c r="D163" s="380"/>
      <c r="E163" s="387"/>
      <c r="F163" s="380"/>
      <c r="G163" s="382"/>
      <c r="H163" s="387"/>
      <c r="I163" s="380"/>
      <c r="J163" s="382"/>
      <c r="K163" s="387"/>
      <c r="L163" s="380"/>
      <c r="M163" s="382"/>
      <c r="N163" s="382"/>
      <c r="O163" s="393"/>
    </row>
    <row r="164" spans="1:17" x14ac:dyDescent="0.2">
      <c r="A164" s="918">
        <v>48</v>
      </c>
      <c r="B164" s="919"/>
      <c r="C164" s="419"/>
      <c r="D164" s="420"/>
      <c r="E164" s="421"/>
      <c r="F164" s="420"/>
      <c r="G164" s="422"/>
      <c r="H164" s="423"/>
      <c r="I164" s="420"/>
      <c r="J164" s="424"/>
      <c r="K164" s="423"/>
      <c r="L164" s="420"/>
      <c r="M164" s="422"/>
      <c r="N164" s="424"/>
      <c r="O164" s="425"/>
      <c r="Q164" t="str">
        <f t="shared" ref="Q164" si="93">IF(AND(ISBLANK(B164), ISBLANK(C164)), "X", "")</f>
        <v>X</v>
      </c>
    </row>
    <row r="165" spans="1:17" x14ac:dyDescent="0.2">
      <c r="A165" s="918"/>
      <c r="B165" s="920"/>
      <c r="C165" s="403" t="s">
        <v>255</v>
      </c>
      <c r="D165" s="386" t="str">
        <f t="shared" ref="D165:O165" si="94">IF(D164="","",D164-D161)</f>
        <v/>
      </c>
      <c r="E165" s="391" t="str">
        <f t="shared" si="94"/>
        <v/>
      </c>
      <c r="F165" s="386" t="str">
        <f t="shared" si="94"/>
        <v/>
      </c>
      <c r="G165" s="384" t="str">
        <f t="shared" si="94"/>
        <v/>
      </c>
      <c r="H165" s="388" t="str">
        <f t="shared" si="94"/>
        <v/>
      </c>
      <c r="I165" s="386" t="str">
        <f t="shared" si="94"/>
        <v/>
      </c>
      <c r="J165" s="384" t="str">
        <f t="shared" si="94"/>
        <v/>
      </c>
      <c r="K165" s="389" t="str">
        <f t="shared" si="94"/>
        <v/>
      </c>
      <c r="L165" s="386" t="str">
        <f t="shared" si="94"/>
        <v/>
      </c>
      <c r="M165" s="384" t="str">
        <f t="shared" si="94"/>
        <v/>
      </c>
      <c r="N165" s="384" t="str">
        <f t="shared" si="94"/>
        <v/>
      </c>
      <c r="O165" s="399" t="str">
        <f t="shared" si="94"/>
        <v/>
      </c>
    </row>
    <row r="166" spans="1:17" x14ac:dyDescent="0.2">
      <c r="A166" s="918"/>
      <c r="B166" s="393"/>
      <c r="C166" s="393"/>
      <c r="D166" s="380"/>
      <c r="E166" s="387"/>
      <c r="F166" s="380"/>
      <c r="G166" s="382"/>
      <c r="H166" s="387"/>
      <c r="I166" s="380"/>
      <c r="J166" s="382"/>
      <c r="K166" s="387"/>
      <c r="L166" s="380"/>
      <c r="M166" s="382"/>
      <c r="N166" s="382"/>
      <c r="O166" s="393"/>
    </row>
    <row r="167" spans="1:17" x14ac:dyDescent="0.2">
      <c r="A167" s="918">
        <v>49</v>
      </c>
      <c r="B167" s="919"/>
      <c r="C167" s="419"/>
      <c r="D167" s="420"/>
      <c r="E167" s="421"/>
      <c r="F167" s="420"/>
      <c r="G167" s="422"/>
      <c r="H167" s="423"/>
      <c r="I167" s="420"/>
      <c r="J167" s="424"/>
      <c r="K167" s="423"/>
      <c r="L167" s="420"/>
      <c r="M167" s="422"/>
      <c r="N167" s="424"/>
      <c r="O167" s="425"/>
      <c r="Q167" t="str">
        <f t="shared" ref="Q167" si="95">IF(AND(ISBLANK(B167), ISBLANK(C167)), "X", "")</f>
        <v>X</v>
      </c>
    </row>
    <row r="168" spans="1:17" x14ac:dyDescent="0.2">
      <c r="A168" s="918"/>
      <c r="B168" s="920"/>
      <c r="C168" s="403" t="s">
        <v>255</v>
      </c>
      <c r="D168" s="386" t="str">
        <f t="shared" ref="D168:O168" si="96">IF(D167="","",D167-D164)</f>
        <v/>
      </c>
      <c r="E168" s="391" t="str">
        <f t="shared" si="96"/>
        <v/>
      </c>
      <c r="F168" s="386" t="str">
        <f t="shared" si="96"/>
        <v/>
      </c>
      <c r="G168" s="384" t="str">
        <f t="shared" si="96"/>
        <v/>
      </c>
      <c r="H168" s="388" t="str">
        <f t="shared" si="96"/>
        <v/>
      </c>
      <c r="I168" s="386" t="str">
        <f t="shared" si="96"/>
        <v/>
      </c>
      <c r="J168" s="384" t="str">
        <f t="shared" si="96"/>
        <v/>
      </c>
      <c r="K168" s="389" t="str">
        <f t="shared" si="96"/>
        <v/>
      </c>
      <c r="L168" s="386" t="str">
        <f t="shared" si="96"/>
        <v/>
      </c>
      <c r="M168" s="384" t="str">
        <f t="shared" si="96"/>
        <v/>
      </c>
      <c r="N168" s="384" t="str">
        <f t="shared" si="96"/>
        <v/>
      </c>
      <c r="O168" s="399" t="str">
        <f t="shared" si="96"/>
        <v/>
      </c>
    </row>
    <row r="169" spans="1:17" x14ac:dyDescent="0.2">
      <c r="A169" s="918"/>
      <c r="B169" s="393"/>
      <c r="C169" s="393"/>
      <c r="D169" s="380"/>
      <c r="E169" s="387"/>
      <c r="F169" s="380"/>
      <c r="G169" s="382"/>
      <c r="H169" s="387"/>
      <c r="I169" s="380"/>
      <c r="J169" s="382"/>
      <c r="K169" s="387"/>
      <c r="L169" s="380"/>
      <c r="M169" s="382"/>
      <c r="N169" s="382"/>
      <c r="O169" s="393"/>
    </row>
    <row r="170" spans="1:17" x14ac:dyDescent="0.2">
      <c r="A170" s="918">
        <v>50</v>
      </c>
      <c r="B170" s="919"/>
      <c r="C170" s="419"/>
      <c r="D170" s="420"/>
      <c r="E170" s="421"/>
      <c r="F170" s="420"/>
      <c r="G170" s="422"/>
      <c r="H170" s="423"/>
      <c r="I170" s="420"/>
      <c r="J170" s="424"/>
      <c r="K170" s="423"/>
      <c r="L170" s="420"/>
      <c r="M170" s="422"/>
      <c r="N170" s="424"/>
      <c r="O170" s="425"/>
      <c r="Q170" t="str">
        <f t="shared" ref="Q170" si="97">IF(AND(ISBLANK(B170), ISBLANK(C170)), "X", "")</f>
        <v>X</v>
      </c>
    </row>
    <row r="171" spans="1:17" x14ac:dyDescent="0.2">
      <c r="A171" s="918"/>
      <c r="B171" s="920"/>
      <c r="C171" s="403" t="s">
        <v>255</v>
      </c>
      <c r="D171" s="386" t="str">
        <f t="shared" ref="D171:O171" si="98">IF(D170="","",D170-D167)</f>
        <v/>
      </c>
      <c r="E171" s="391" t="str">
        <f t="shared" si="98"/>
        <v/>
      </c>
      <c r="F171" s="386" t="str">
        <f t="shared" si="98"/>
        <v/>
      </c>
      <c r="G171" s="384" t="str">
        <f t="shared" si="98"/>
        <v/>
      </c>
      <c r="H171" s="388" t="str">
        <f t="shared" si="98"/>
        <v/>
      </c>
      <c r="I171" s="386" t="str">
        <f t="shared" si="98"/>
        <v/>
      </c>
      <c r="J171" s="384" t="str">
        <f t="shared" si="98"/>
        <v/>
      </c>
      <c r="K171" s="389" t="str">
        <f t="shared" si="98"/>
        <v/>
      </c>
      <c r="L171" s="386" t="str">
        <f t="shared" si="98"/>
        <v/>
      </c>
      <c r="M171" s="384" t="str">
        <f t="shared" si="98"/>
        <v/>
      </c>
      <c r="N171" s="384" t="str">
        <f t="shared" si="98"/>
        <v/>
      </c>
      <c r="O171" s="399" t="str">
        <f t="shared" si="98"/>
        <v/>
      </c>
    </row>
    <row r="172" spans="1:17" x14ac:dyDescent="0.2">
      <c r="A172" s="918"/>
      <c r="B172" s="393"/>
      <c r="C172" s="393"/>
      <c r="D172" s="380"/>
      <c r="E172" s="387"/>
      <c r="F172" s="380"/>
      <c r="G172" s="382"/>
      <c r="H172" s="387"/>
      <c r="I172" s="380"/>
      <c r="J172" s="382"/>
      <c r="K172" s="387"/>
      <c r="L172" s="380"/>
      <c r="M172" s="382"/>
      <c r="N172" s="382"/>
      <c r="O172" s="393"/>
    </row>
    <row r="173" spans="1:17" x14ac:dyDescent="0.2">
      <c r="A173" s="918">
        <v>51</v>
      </c>
      <c r="B173" s="919"/>
      <c r="C173" s="419"/>
      <c r="D173" s="420"/>
      <c r="E173" s="421"/>
      <c r="F173" s="420"/>
      <c r="G173" s="422"/>
      <c r="H173" s="423"/>
      <c r="I173" s="420"/>
      <c r="J173" s="424"/>
      <c r="K173" s="423"/>
      <c r="L173" s="420"/>
      <c r="M173" s="422"/>
      <c r="N173" s="424"/>
      <c r="O173" s="425"/>
      <c r="Q173" t="str">
        <f t="shared" ref="Q173" si="99">IF(AND(ISBLANK(B173), ISBLANK(C173)), "X", "")</f>
        <v>X</v>
      </c>
    </row>
    <row r="174" spans="1:17" x14ac:dyDescent="0.2">
      <c r="A174" s="918"/>
      <c r="B174" s="920"/>
      <c r="C174" s="403" t="s">
        <v>255</v>
      </c>
      <c r="D174" s="386" t="str">
        <f t="shared" ref="D174:O174" si="100">IF(D173="","",D173-D170)</f>
        <v/>
      </c>
      <c r="E174" s="391" t="str">
        <f t="shared" si="100"/>
        <v/>
      </c>
      <c r="F174" s="386" t="str">
        <f t="shared" si="100"/>
        <v/>
      </c>
      <c r="G174" s="384" t="str">
        <f t="shared" si="100"/>
        <v/>
      </c>
      <c r="H174" s="388" t="str">
        <f t="shared" si="100"/>
        <v/>
      </c>
      <c r="I174" s="386" t="str">
        <f t="shared" si="100"/>
        <v/>
      </c>
      <c r="J174" s="384" t="str">
        <f t="shared" si="100"/>
        <v/>
      </c>
      <c r="K174" s="389" t="str">
        <f t="shared" si="100"/>
        <v/>
      </c>
      <c r="L174" s="386" t="str">
        <f t="shared" si="100"/>
        <v/>
      </c>
      <c r="M174" s="384" t="str">
        <f t="shared" si="100"/>
        <v/>
      </c>
      <c r="N174" s="384" t="str">
        <f t="shared" si="100"/>
        <v/>
      </c>
      <c r="O174" s="399" t="str">
        <f t="shared" si="100"/>
        <v/>
      </c>
    </row>
    <row r="175" spans="1:17" x14ac:dyDescent="0.2">
      <c r="A175" s="918"/>
      <c r="B175" s="393"/>
      <c r="C175" s="393"/>
      <c r="D175" s="380"/>
      <c r="E175" s="387"/>
      <c r="F175" s="380"/>
      <c r="G175" s="382"/>
      <c r="H175" s="387"/>
      <c r="I175" s="380"/>
      <c r="J175" s="382"/>
      <c r="K175" s="387"/>
      <c r="L175" s="380"/>
      <c r="M175" s="382"/>
      <c r="N175" s="382"/>
      <c r="O175" s="393"/>
    </row>
    <row r="176" spans="1:17" x14ac:dyDescent="0.2">
      <c r="A176" s="918">
        <v>52</v>
      </c>
      <c r="B176" s="919"/>
      <c r="C176" s="419"/>
      <c r="D176" s="420"/>
      <c r="E176" s="421"/>
      <c r="F176" s="420"/>
      <c r="G176" s="422"/>
      <c r="H176" s="423"/>
      <c r="I176" s="420"/>
      <c r="J176" s="424"/>
      <c r="K176" s="423"/>
      <c r="L176" s="420"/>
      <c r="M176" s="422"/>
      <c r="N176" s="424"/>
      <c r="O176" s="425"/>
      <c r="Q176" t="str">
        <f t="shared" ref="Q176" si="101">IF(AND(ISBLANK(B176), ISBLANK(C176)), "X", "")</f>
        <v>X</v>
      </c>
    </row>
    <row r="177" spans="1:18" x14ac:dyDescent="0.2">
      <c r="A177" s="918"/>
      <c r="B177" s="920"/>
      <c r="C177" s="403" t="s">
        <v>255</v>
      </c>
      <c r="D177" s="386" t="str">
        <f t="shared" ref="D177:O177" si="102">IF(D176="","",D176-D173)</f>
        <v/>
      </c>
      <c r="E177" s="391" t="str">
        <f t="shared" si="102"/>
        <v/>
      </c>
      <c r="F177" s="386" t="str">
        <f t="shared" si="102"/>
        <v/>
      </c>
      <c r="G177" s="384" t="str">
        <f t="shared" si="102"/>
        <v/>
      </c>
      <c r="H177" s="388" t="str">
        <f t="shared" si="102"/>
        <v/>
      </c>
      <c r="I177" s="386" t="str">
        <f t="shared" si="102"/>
        <v/>
      </c>
      <c r="J177" s="384" t="str">
        <f t="shared" si="102"/>
        <v/>
      </c>
      <c r="K177" s="389" t="str">
        <f t="shared" si="102"/>
        <v/>
      </c>
      <c r="L177" s="386" t="str">
        <f t="shared" si="102"/>
        <v/>
      </c>
      <c r="M177" s="384" t="str">
        <f t="shared" si="102"/>
        <v/>
      </c>
      <c r="N177" s="384" t="str">
        <f t="shared" si="102"/>
        <v/>
      </c>
      <c r="O177" s="399" t="str">
        <f t="shared" si="102"/>
        <v/>
      </c>
    </row>
    <row r="178" spans="1:18" x14ac:dyDescent="0.2">
      <c r="A178" s="918"/>
      <c r="B178" s="393"/>
      <c r="C178" s="393"/>
      <c r="D178" s="380"/>
      <c r="E178" s="387"/>
      <c r="F178" s="380"/>
      <c r="G178" s="382"/>
      <c r="H178" s="387"/>
      <c r="I178" s="380"/>
      <c r="J178" s="382"/>
      <c r="K178" s="387"/>
      <c r="L178" s="380"/>
      <c r="M178" s="382"/>
      <c r="N178" s="382"/>
      <c r="O178" s="393"/>
    </row>
    <row r="179" spans="1:18" x14ac:dyDescent="0.2">
      <c r="A179" s="918">
        <v>53</v>
      </c>
      <c r="B179" s="919"/>
      <c r="C179" s="419"/>
      <c r="D179" s="420"/>
      <c r="E179" s="421"/>
      <c r="F179" s="420"/>
      <c r="G179" s="422"/>
      <c r="H179" s="423"/>
      <c r="I179" s="420"/>
      <c r="J179" s="424"/>
      <c r="K179" s="423"/>
      <c r="L179" s="420"/>
      <c r="M179" s="422"/>
      <c r="N179" s="424"/>
      <c r="O179" s="425"/>
      <c r="Q179" t="str">
        <f t="shared" ref="Q179" si="103">IF(AND(ISBLANK(B179), ISBLANK(C179)), "X", "")</f>
        <v>X</v>
      </c>
    </row>
    <row r="180" spans="1:18" x14ac:dyDescent="0.2">
      <c r="A180" s="918"/>
      <c r="B180" s="920"/>
      <c r="C180" s="403" t="s">
        <v>255</v>
      </c>
      <c r="D180" s="386" t="str">
        <f t="shared" ref="D180:O180" si="104">IF(D179="","",D179-D176)</f>
        <v/>
      </c>
      <c r="E180" s="391" t="str">
        <f t="shared" si="104"/>
        <v/>
      </c>
      <c r="F180" s="386" t="str">
        <f t="shared" si="104"/>
        <v/>
      </c>
      <c r="G180" s="384" t="str">
        <f t="shared" si="104"/>
        <v/>
      </c>
      <c r="H180" s="388" t="str">
        <f t="shared" si="104"/>
        <v/>
      </c>
      <c r="I180" s="386" t="str">
        <f t="shared" si="104"/>
        <v/>
      </c>
      <c r="J180" s="384" t="str">
        <f t="shared" si="104"/>
        <v/>
      </c>
      <c r="K180" s="389" t="str">
        <f t="shared" si="104"/>
        <v/>
      </c>
      <c r="L180" s="386" t="str">
        <f t="shared" si="104"/>
        <v/>
      </c>
      <c r="M180" s="384" t="str">
        <f t="shared" si="104"/>
        <v/>
      </c>
      <c r="N180" s="384" t="str">
        <f t="shared" si="104"/>
        <v/>
      </c>
      <c r="O180" s="399" t="str">
        <f t="shared" si="104"/>
        <v/>
      </c>
    </row>
    <row r="181" spans="1:18" x14ac:dyDescent="0.2">
      <c r="A181" s="918"/>
      <c r="B181" s="393"/>
      <c r="C181" s="393"/>
      <c r="D181" s="380"/>
      <c r="E181" s="387"/>
      <c r="F181" s="380"/>
      <c r="G181" s="382"/>
      <c r="H181" s="387"/>
      <c r="I181" s="380"/>
      <c r="J181" s="382"/>
      <c r="K181" s="387"/>
      <c r="L181" s="380"/>
      <c r="M181" s="382"/>
      <c r="N181" s="382"/>
      <c r="O181" s="393"/>
      <c r="R181" t="s">
        <v>259</v>
      </c>
    </row>
    <row r="182" spans="1:18" x14ac:dyDescent="0.2">
      <c r="A182" s="918">
        <v>54</v>
      </c>
      <c r="B182" s="919"/>
      <c r="C182" s="419"/>
      <c r="D182" s="420"/>
      <c r="E182" s="421"/>
      <c r="F182" s="420"/>
      <c r="G182" s="422"/>
      <c r="H182" s="423"/>
      <c r="I182" s="420"/>
      <c r="J182" s="424"/>
      <c r="K182" s="423"/>
      <c r="L182" s="420"/>
      <c r="M182" s="422"/>
      <c r="N182" s="424"/>
      <c r="O182" s="425"/>
      <c r="Q182" t="str">
        <f t="shared" ref="Q182" si="105">IF(AND(ISBLANK(B182), ISBLANK(C182)), "X", "")</f>
        <v>X</v>
      </c>
    </row>
    <row r="183" spans="1:18" x14ac:dyDescent="0.2">
      <c r="A183" s="918"/>
      <c r="B183" s="920"/>
      <c r="C183" s="403" t="s">
        <v>255</v>
      </c>
      <c r="D183" s="386" t="str">
        <f t="shared" ref="D183:O183" si="106">IF(D182="","",D182-D179)</f>
        <v/>
      </c>
      <c r="E183" s="391" t="str">
        <f t="shared" si="106"/>
        <v/>
      </c>
      <c r="F183" s="386" t="str">
        <f t="shared" si="106"/>
        <v/>
      </c>
      <c r="G183" s="384" t="str">
        <f t="shared" si="106"/>
        <v/>
      </c>
      <c r="H183" s="388" t="str">
        <f t="shared" si="106"/>
        <v/>
      </c>
      <c r="I183" s="386" t="str">
        <f t="shared" si="106"/>
        <v/>
      </c>
      <c r="J183" s="384" t="str">
        <f t="shared" si="106"/>
        <v/>
      </c>
      <c r="K183" s="389" t="str">
        <f t="shared" si="106"/>
        <v/>
      </c>
      <c r="L183" s="386" t="str">
        <f t="shared" si="106"/>
        <v/>
      </c>
      <c r="M183" s="384" t="str">
        <f t="shared" si="106"/>
        <v/>
      </c>
      <c r="N183" s="384" t="str">
        <f t="shared" si="106"/>
        <v/>
      </c>
      <c r="O183" s="399" t="str">
        <f t="shared" si="106"/>
        <v/>
      </c>
    </row>
    <row r="184" spans="1:18" x14ac:dyDescent="0.2">
      <c r="A184" s="918"/>
      <c r="B184" s="393"/>
      <c r="C184" s="393"/>
      <c r="D184" s="380"/>
      <c r="E184" s="387"/>
      <c r="F184" s="380"/>
      <c r="G184" s="382"/>
      <c r="H184" s="387"/>
      <c r="I184" s="380"/>
      <c r="J184" s="382"/>
      <c r="K184" s="387"/>
      <c r="L184" s="380"/>
      <c r="M184" s="382"/>
      <c r="N184" s="382"/>
      <c r="O184" s="393"/>
    </row>
    <row r="185" spans="1:18" x14ac:dyDescent="0.2">
      <c r="A185" s="918">
        <v>55</v>
      </c>
      <c r="B185" s="919"/>
      <c r="C185" s="419"/>
      <c r="D185" s="420"/>
      <c r="E185" s="421"/>
      <c r="F185" s="420"/>
      <c r="G185" s="422"/>
      <c r="H185" s="423"/>
      <c r="I185" s="420"/>
      <c r="J185" s="424"/>
      <c r="K185" s="423"/>
      <c r="L185" s="420"/>
      <c r="M185" s="422"/>
      <c r="N185" s="424"/>
      <c r="O185" s="425"/>
      <c r="Q185" t="str">
        <f t="shared" ref="Q185" si="107">IF(AND(ISBLANK(B185), ISBLANK(C185)), "X", "")</f>
        <v>X</v>
      </c>
    </row>
    <row r="186" spans="1:18" x14ac:dyDescent="0.2">
      <c r="A186" s="918"/>
      <c r="B186" s="920"/>
      <c r="C186" s="403" t="s">
        <v>255</v>
      </c>
      <c r="D186" s="386" t="str">
        <f t="shared" ref="D186:O186" si="108">IF(D185="","",D185-D182)</f>
        <v/>
      </c>
      <c r="E186" s="391" t="str">
        <f t="shared" si="108"/>
        <v/>
      </c>
      <c r="F186" s="386" t="str">
        <f t="shared" si="108"/>
        <v/>
      </c>
      <c r="G186" s="384" t="str">
        <f t="shared" si="108"/>
        <v/>
      </c>
      <c r="H186" s="388" t="str">
        <f t="shared" si="108"/>
        <v/>
      </c>
      <c r="I186" s="386" t="str">
        <f t="shared" si="108"/>
        <v/>
      </c>
      <c r="J186" s="384" t="str">
        <f t="shared" si="108"/>
        <v/>
      </c>
      <c r="K186" s="389" t="str">
        <f t="shared" si="108"/>
        <v/>
      </c>
      <c r="L186" s="386" t="str">
        <f t="shared" si="108"/>
        <v/>
      </c>
      <c r="M186" s="384" t="str">
        <f t="shared" si="108"/>
        <v/>
      </c>
      <c r="N186" s="384" t="str">
        <f t="shared" si="108"/>
        <v/>
      </c>
      <c r="O186" s="399" t="str">
        <f t="shared" si="108"/>
        <v/>
      </c>
    </row>
    <row r="187" spans="1:18" x14ac:dyDescent="0.2">
      <c r="A187" s="918"/>
      <c r="B187" s="393"/>
      <c r="C187" s="393"/>
      <c r="D187" s="380"/>
      <c r="E187" s="387"/>
      <c r="F187" s="380"/>
      <c r="G187" s="382"/>
      <c r="H187" s="387"/>
      <c r="I187" s="380"/>
      <c r="J187" s="382"/>
      <c r="K187" s="387"/>
      <c r="L187" s="380"/>
      <c r="M187" s="382"/>
      <c r="N187" s="382"/>
      <c r="O187" s="393"/>
    </row>
    <row r="188" spans="1:18" x14ac:dyDescent="0.2">
      <c r="A188" s="918">
        <v>56</v>
      </c>
      <c r="B188" s="919"/>
      <c r="C188" s="419"/>
      <c r="D188" s="420"/>
      <c r="E188" s="421"/>
      <c r="F188" s="420"/>
      <c r="G188" s="422"/>
      <c r="H188" s="423"/>
      <c r="I188" s="420"/>
      <c r="J188" s="424"/>
      <c r="K188" s="423"/>
      <c r="L188" s="420"/>
      <c r="M188" s="422"/>
      <c r="N188" s="424"/>
      <c r="O188" s="425"/>
      <c r="Q188" t="str">
        <f t="shared" ref="Q188" si="109">IF(AND(ISBLANK(B188), ISBLANK(C188)), "X", "")</f>
        <v>X</v>
      </c>
    </row>
    <row r="189" spans="1:18" x14ac:dyDescent="0.2">
      <c r="A189" s="918"/>
      <c r="B189" s="920"/>
      <c r="C189" s="403" t="s">
        <v>255</v>
      </c>
      <c r="D189" s="386" t="str">
        <f t="shared" ref="D189:O189" si="110">IF(D188="","",D188-D185)</f>
        <v/>
      </c>
      <c r="E189" s="391" t="str">
        <f t="shared" si="110"/>
        <v/>
      </c>
      <c r="F189" s="386" t="str">
        <f t="shared" si="110"/>
        <v/>
      </c>
      <c r="G189" s="384" t="str">
        <f t="shared" si="110"/>
        <v/>
      </c>
      <c r="H189" s="388" t="str">
        <f t="shared" si="110"/>
        <v/>
      </c>
      <c r="I189" s="386" t="str">
        <f t="shared" si="110"/>
        <v/>
      </c>
      <c r="J189" s="384" t="str">
        <f t="shared" si="110"/>
        <v/>
      </c>
      <c r="K189" s="389" t="str">
        <f t="shared" si="110"/>
        <v/>
      </c>
      <c r="L189" s="386" t="str">
        <f t="shared" si="110"/>
        <v/>
      </c>
      <c r="M189" s="384" t="str">
        <f t="shared" si="110"/>
        <v/>
      </c>
      <c r="N189" s="384" t="str">
        <f t="shared" si="110"/>
        <v/>
      </c>
      <c r="O189" s="399" t="str">
        <f t="shared" si="110"/>
        <v/>
      </c>
    </row>
    <row r="190" spans="1:18" x14ac:dyDescent="0.2">
      <c r="A190" s="918"/>
      <c r="B190" s="393"/>
      <c r="C190" s="393"/>
      <c r="D190" s="380"/>
      <c r="E190" s="387"/>
      <c r="F190" s="380"/>
      <c r="G190" s="382"/>
      <c r="H190" s="387"/>
      <c r="I190" s="380"/>
      <c r="J190" s="382"/>
      <c r="K190" s="387"/>
      <c r="L190" s="380"/>
      <c r="M190" s="382"/>
      <c r="N190" s="382"/>
      <c r="O190" s="393"/>
    </row>
    <row r="191" spans="1:18" x14ac:dyDescent="0.2">
      <c r="A191" s="918">
        <v>57</v>
      </c>
      <c r="B191" s="919"/>
      <c r="C191" s="419"/>
      <c r="D191" s="420"/>
      <c r="E191" s="421"/>
      <c r="F191" s="420"/>
      <c r="G191" s="422"/>
      <c r="H191" s="423"/>
      <c r="I191" s="420"/>
      <c r="J191" s="424"/>
      <c r="K191" s="423"/>
      <c r="L191" s="420"/>
      <c r="M191" s="422"/>
      <c r="N191" s="424"/>
      <c r="O191" s="425"/>
      <c r="Q191" t="str">
        <f t="shared" ref="Q191" si="111">IF(AND(ISBLANK(B191), ISBLANK(C191)), "X", "")</f>
        <v>X</v>
      </c>
    </row>
    <row r="192" spans="1:18" x14ac:dyDescent="0.2">
      <c r="A192" s="918"/>
      <c r="B192" s="920"/>
      <c r="C192" s="403" t="s">
        <v>255</v>
      </c>
      <c r="D192" s="386" t="str">
        <f t="shared" ref="D192:O192" si="112">IF(D191="","",D191-D188)</f>
        <v/>
      </c>
      <c r="E192" s="391" t="str">
        <f t="shared" si="112"/>
        <v/>
      </c>
      <c r="F192" s="386" t="str">
        <f t="shared" si="112"/>
        <v/>
      </c>
      <c r="G192" s="384" t="str">
        <f t="shared" si="112"/>
        <v/>
      </c>
      <c r="H192" s="388" t="str">
        <f t="shared" si="112"/>
        <v/>
      </c>
      <c r="I192" s="386" t="str">
        <f t="shared" si="112"/>
        <v/>
      </c>
      <c r="J192" s="384" t="str">
        <f t="shared" si="112"/>
        <v/>
      </c>
      <c r="K192" s="389" t="str">
        <f t="shared" si="112"/>
        <v/>
      </c>
      <c r="L192" s="386" t="str">
        <f t="shared" si="112"/>
        <v/>
      </c>
      <c r="M192" s="384" t="str">
        <f t="shared" si="112"/>
        <v/>
      </c>
      <c r="N192" s="384" t="str">
        <f t="shared" si="112"/>
        <v/>
      </c>
      <c r="O192" s="399" t="str">
        <f t="shared" si="112"/>
        <v/>
      </c>
    </row>
    <row r="193" spans="1:18" x14ac:dyDescent="0.2">
      <c r="A193" s="918"/>
      <c r="B193" s="393"/>
      <c r="C193" s="393"/>
      <c r="D193" s="380"/>
      <c r="E193" s="387"/>
      <c r="F193" s="380"/>
      <c r="G193" s="382"/>
      <c r="H193" s="387"/>
      <c r="I193" s="380"/>
      <c r="J193" s="382"/>
      <c r="K193" s="387"/>
      <c r="L193" s="380"/>
      <c r="M193" s="382"/>
      <c r="N193" s="382"/>
      <c r="O193" s="393"/>
    </row>
    <row r="194" spans="1:18" x14ac:dyDescent="0.2">
      <c r="A194" s="918">
        <v>58</v>
      </c>
      <c r="B194" s="919"/>
      <c r="C194" s="419"/>
      <c r="D194" s="420"/>
      <c r="E194" s="421"/>
      <c r="F194" s="420"/>
      <c r="G194" s="422"/>
      <c r="H194" s="423"/>
      <c r="I194" s="420"/>
      <c r="J194" s="424"/>
      <c r="K194" s="423"/>
      <c r="L194" s="420"/>
      <c r="M194" s="422"/>
      <c r="N194" s="424"/>
      <c r="O194" s="425"/>
      <c r="Q194" t="str">
        <f t="shared" ref="Q194" si="113">IF(AND(ISBLANK(B194), ISBLANK(C194)), "X", "")</f>
        <v>X</v>
      </c>
    </row>
    <row r="195" spans="1:18" x14ac:dyDescent="0.2">
      <c r="A195" s="918"/>
      <c r="B195" s="920"/>
      <c r="C195" s="403" t="s">
        <v>255</v>
      </c>
      <c r="D195" s="386" t="str">
        <f t="shared" ref="D195:O195" si="114">IF(D194="","",D194-D191)</f>
        <v/>
      </c>
      <c r="E195" s="391" t="str">
        <f t="shared" si="114"/>
        <v/>
      </c>
      <c r="F195" s="386" t="str">
        <f t="shared" si="114"/>
        <v/>
      </c>
      <c r="G195" s="384" t="str">
        <f t="shared" si="114"/>
        <v/>
      </c>
      <c r="H195" s="388" t="str">
        <f t="shared" si="114"/>
        <v/>
      </c>
      <c r="I195" s="386" t="str">
        <f t="shared" si="114"/>
        <v/>
      </c>
      <c r="J195" s="384" t="str">
        <f t="shared" si="114"/>
        <v/>
      </c>
      <c r="K195" s="389" t="str">
        <f t="shared" si="114"/>
        <v/>
      </c>
      <c r="L195" s="386" t="str">
        <f t="shared" si="114"/>
        <v/>
      </c>
      <c r="M195" s="384" t="str">
        <f t="shared" si="114"/>
        <v/>
      </c>
      <c r="N195" s="384" t="str">
        <f t="shared" si="114"/>
        <v/>
      </c>
      <c r="O195" s="399" t="str">
        <f t="shared" si="114"/>
        <v/>
      </c>
    </row>
    <row r="196" spans="1:18" x14ac:dyDescent="0.2">
      <c r="A196" s="918"/>
      <c r="B196" s="393"/>
      <c r="C196" s="393"/>
      <c r="D196" s="380"/>
      <c r="E196" s="387"/>
      <c r="F196" s="380"/>
      <c r="G196" s="382"/>
      <c r="H196" s="387"/>
      <c r="I196" s="380"/>
      <c r="J196" s="382"/>
      <c r="K196" s="387"/>
      <c r="L196" s="380"/>
      <c r="M196" s="382"/>
      <c r="N196" s="382"/>
      <c r="O196" s="393"/>
    </row>
    <row r="197" spans="1:18" x14ac:dyDescent="0.2">
      <c r="A197" s="918">
        <v>59</v>
      </c>
      <c r="B197" s="919"/>
      <c r="C197" s="419"/>
      <c r="D197" s="420"/>
      <c r="E197" s="421"/>
      <c r="F197" s="420"/>
      <c r="G197" s="422"/>
      <c r="H197" s="423"/>
      <c r="I197" s="420"/>
      <c r="J197" s="424"/>
      <c r="K197" s="423"/>
      <c r="L197" s="420"/>
      <c r="M197" s="422"/>
      <c r="N197" s="424"/>
      <c r="O197" s="425"/>
      <c r="Q197" t="str">
        <f t="shared" ref="Q197" si="115">IF(AND(ISBLANK(B197), ISBLANK(C197)), "X", "")</f>
        <v>X</v>
      </c>
    </row>
    <row r="198" spans="1:18" x14ac:dyDescent="0.2">
      <c r="A198" s="918"/>
      <c r="B198" s="920"/>
      <c r="C198" s="403" t="s">
        <v>255</v>
      </c>
      <c r="D198" s="386" t="str">
        <f t="shared" ref="D198:O198" si="116">IF(D197="","",D197-D194)</f>
        <v/>
      </c>
      <c r="E198" s="391" t="str">
        <f t="shared" si="116"/>
        <v/>
      </c>
      <c r="F198" s="386" t="str">
        <f t="shared" si="116"/>
        <v/>
      </c>
      <c r="G198" s="384" t="str">
        <f t="shared" si="116"/>
        <v/>
      </c>
      <c r="H198" s="388" t="str">
        <f t="shared" si="116"/>
        <v/>
      </c>
      <c r="I198" s="386" t="str">
        <f t="shared" si="116"/>
        <v/>
      </c>
      <c r="J198" s="384" t="str">
        <f t="shared" si="116"/>
        <v/>
      </c>
      <c r="K198" s="389" t="str">
        <f t="shared" si="116"/>
        <v/>
      </c>
      <c r="L198" s="386" t="str">
        <f t="shared" si="116"/>
        <v/>
      </c>
      <c r="M198" s="384" t="str">
        <f t="shared" si="116"/>
        <v/>
      </c>
      <c r="N198" s="384" t="str">
        <f t="shared" si="116"/>
        <v/>
      </c>
      <c r="O198" s="399" t="str">
        <f t="shared" si="116"/>
        <v/>
      </c>
    </row>
    <row r="199" spans="1:18" x14ac:dyDescent="0.2">
      <c r="A199" s="918"/>
      <c r="B199" s="393"/>
      <c r="C199" s="393"/>
      <c r="D199" s="380"/>
      <c r="E199" s="387"/>
      <c r="F199" s="380"/>
      <c r="G199" s="382"/>
      <c r="H199" s="387"/>
      <c r="I199" s="380"/>
      <c r="J199" s="382"/>
      <c r="K199" s="387"/>
      <c r="L199" s="380"/>
      <c r="M199" s="382"/>
      <c r="N199" s="382"/>
      <c r="O199" s="393"/>
    </row>
    <row r="200" spans="1:18" x14ac:dyDescent="0.2">
      <c r="A200" s="918">
        <v>60</v>
      </c>
      <c r="B200" s="919"/>
      <c r="C200" s="419"/>
      <c r="D200" s="420"/>
      <c r="E200" s="421"/>
      <c r="F200" s="420"/>
      <c r="G200" s="422"/>
      <c r="H200" s="423"/>
      <c r="I200" s="420"/>
      <c r="J200" s="424"/>
      <c r="K200" s="423"/>
      <c r="L200" s="420"/>
      <c r="M200" s="422"/>
      <c r="N200" s="424"/>
      <c r="O200" s="425"/>
      <c r="Q200" t="str">
        <f t="shared" ref="Q200" si="117">IF(AND(ISBLANK(B200), ISBLANK(C200)), "X", "")</f>
        <v>X</v>
      </c>
    </row>
    <row r="201" spans="1:18" x14ac:dyDescent="0.2">
      <c r="A201" s="918"/>
      <c r="B201" s="920"/>
      <c r="C201" s="403" t="s">
        <v>255</v>
      </c>
      <c r="D201" s="386" t="str">
        <f t="shared" ref="D201:O201" si="118">IF(D200="","",D200-D197)</f>
        <v/>
      </c>
      <c r="E201" s="391" t="str">
        <f t="shared" si="118"/>
        <v/>
      </c>
      <c r="F201" s="386" t="str">
        <f t="shared" si="118"/>
        <v/>
      </c>
      <c r="G201" s="384" t="str">
        <f t="shared" si="118"/>
        <v/>
      </c>
      <c r="H201" s="388" t="str">
        <f t="shared" si="118"/>
        <v/>
      </c>
      <c r="I201" s="386" t="str">
        <f t="shared" si="118"/>
        <v/>
      </c>
      <c r="J201" s="384" t="str">
        <f t="shared" si="118"/>
        <v/>
      </c>
      <c r="K201" s="389" t="str">
        <f t="shared" si="118"/>
        <v/>
      </c>
      <c r="L201" s="386" t="str">
        <f t="shared" si="118"/>
        <v/>
      </c>
      <c r="M201" s="384" t="str">
        <f t="shared" si="118"/>
        <v/>
      </c>
      <c r="N201" s="384" t="str">
        <f t="shared" si="118"/>
        <v/>
      </c>
      <c r="O201" s="399" t="str">
        <f t="shared" si="118"/>
        <v/>
      </c>
    </row>
    <row r="202" spans="1:18" ht="13.5" thickBot="1" x14ac:dyDescent="0.25">
      <c r="A202" s="918"/>
      <c r="B202" s="415"/>
      <c r="C202" s="415"/>
      <c r="D202" s="415"/>
      <c r="E202" s="415"/>
      <c r="F202" s="415"/>
      <c r="G202" s="415"/>
      <c r="H202" s="415"/>
      <c r="I202" s="415"/>
      <c r="J202" s="415"/>
      <c r="K202" s="415"/>
      <c r="L202" s="415"/>
      <c r="M202" s="415"/>
      <c r="N202" s="415"/>
      <c r="O202" s="415"/>
      <c r="P202" s="415"/>
      <c r="Q202" s="415"/>
      <c r="R202" s="415"/>
    </row>
    <row r="203" spans="1:18" ht="13.5" thickTop="1" x14ac:dyDescent="0.2">
      <c r="R203" t="s">
        <v>258</v>
      </c>
    </row>
    <row r="209" spans="2:15" x14ac:dyDescent="0.2">
      <c r="B209" s="921"/>
      <c r="C209" s="921"/>
      <c r="D209" s="921"/>
      <c r="E209" s="921"/>
      <c r="F209" s="921"/>
      <c r="G209" s="921"/>
      <c r="H209" s="921"/>
      <c r="I209" s="921"/>
      <c r="J209" s="921"/>
      <c r="K209" s="921"/>
      <c r="L209" s="921"/>
      <c r="M209" s="921"/>
      <c r="N209" s="921"/>
      <c r="O209" s="921"/>
    </row>
    <row r="211" spans="2:15" x14ac:dyDescent="0.2">
      <c r="B211" s="916"/>
      <c r="C211" s="916"/>
      <c r="D211" s="916"/>
      <c r="E211" s="916"/>
      <c r="F211" s="916"/>
      <c r="G211" s="916"/>
      <c r="H211" s="916"/>
      <c r="I211" s="916"/>
      <c r="J211" s="916"/>
      <c r="K211" s="916"/>
      <c r="L211" s="916"/>
      <c r="M211" s="916"/>
      <c r="N211" s="916"/>
      <c r="O211" s="916"/>
    </row>
    <row r="212" spans="2:15" x14ac:dyDescent="0.2">
      <c r="B212" s="877"/>
      <c r="C212" s="877"/>
      <c r="D212" s="877"/>
      <c r="E212" s="877"/>
      <c r="F212" s="877"/>
      <c r="G212" s="877"/>
      <c r="H212" s="877"/>
      <c r="I212" s="877"/>
      <c r="J212" s="877"/>
      <c r="K212" s="877"/>
      <c r="L212" s="877"/>
      <c r="M212" s="877"/>
      <c r="N212" s="877"/>
      <c r="O212" s="877"/>
    </row>
  </sheetData>
  <sheetProtection algorithmName="SHA-512" hashValue="IzWSS9m39buTl5SpMVQjIiqhPk5Q0DtGvxXTDKwjGsp/X/R8y3zVYeWBrETnGtYXFrUnS3Y44nOGDnfwV7M+mA==" saltValue="yMBIA0EbhwyRE84iCigD3Q==" spinCount="100000" sheet="1" objects="1" scenarios="1"/>
  <mergeCells count="129">
    <mergeCell ref="B15:O15"/>
    <mergeCell ref="A200:A202"/>
    <mergeCell ref="B200:B201"/>
    <mergeCell ref="A191:A193"/>
    <mergeCell ref="B191:B192"/>
    <mergeCell ref="A194:A196"/>
    <mergeCell ref="B194:B195"/>
    <mergeCell ref="A197:A199"/>
    <mergeCell ref="B197:B198"/>
    <mergeCell ref="A182:A184"/>
    <mergeCell ref="B182:B183"/>
    <mergeCell ref="A185:A187"/>
    <mergeCell ref="B185:B186"/>
    <mergeCell ref="A188:A190"/>
    <mergeCell ref="B188:B189"/>
    <mergeCell ref="A173:A175"/>
    <mergeCell ref="B173:B174"/>
    <mergeCell ref="A176:A178"/>
    <mergeCell ref="B176:B177"/>
    <mergeCell ref="A179:A181"/>
    <mergeCell ref="B179:B180"/>
    <mergeCell ref="A164:A166"/>
    <mergeCell ref="B164:B165"/>
    <mergeCell ref="A167:A169"/>
    <mergeCell ref="B167:B168"/>
    <mergeCell ref="A170:A172"/>
    <mergeCell ref="B170:B171"/>
    <mergeCell ref="A155:A157"/>
    <mergeCell ref="B155:B156"/>
    <mergeCell ref="A158:A160"/>
    <mergeCell ref="B158:B159"/>
    <mergeCell ref="A161:A163"/>
    <mergeCell ref="B161:B162"/>
    <mergeCell ref="A146:A148"/>
    <mergeCell ref="B146:B147"/>
    <mergeCell ref="A149:A151"/>
    <mergeCell ref="B149:B150"/>
    <mergeCell ref="A152:A154"/>
    <mergeCell ref="B152:B153"/>
    <mergeCell ref="A137:A139"/>
    <mergeCell ref="B137:B138"/>
    <mergeCell ref="A140:A142"/>
    <mergeCell ref="B140:B141"/>
    <mergeCell ref="A143:A145"/>
    <mergeCell ref="B143:B144"/>
    <mergeCell ref="A128:A130"/>
    <mergeCell ref="B128:B129"/>
    <mergeCell ref="A131:A133"/>
    <mergeCell ref="B131:B132"/>
    <mergeCell ref="A134:A136"/>
    <mergeCell ref="B134:B135"/>
    <mergeCell ref="A119:A121"/>
    <mergeCell ref="B119:B120"/>
    <mergeCell ref="A122:A124"/>
    <mergeCell ref="B122:B123"/>
    <mergeCell ref="A125:A127"/>
    <mergeCell ref="B125:B126"/>
    <mergeCell ref="A110:A112"/>
    <mergeCell ref="B110:B111"/>
    <mergeCell ref="A113:A115"/>
    <mergeCell ref="B113:B114"/>
    <mergeCell ref="A116:A118"/>
    <mergeCell ref="B116:B117"/>
    <mergeCell ref="A101:A103"/>
    <mergeCell ref="B101:B102"/>
    <mergeCell ref="A104:A106"/>
    <mergeCell ref="B104:B105"/>
    <mergeCell ref="A107:A109"/>
    <mergeCell ref="B107:B108"/>
    <mergeCell ref="A92:A94"/>
    <mergeCell ref="B92:B93"/>
    <mergeCell ref="A95:A97"/>
    <mergeCell ref="B95:B96"/>
    <mergeCell ref="A98:A100"/>
    <mergeCell ref="B98:B99"/>
    <mergeCell ref="A83:A85"/>
    <mergeCell ref="B83:B84"/>
    <mergeCell ref="A86:A88"/>
    <mergeCell ref="B86:B87"/>
    <mergeCell ref="A89:A91"/>
    <mergeCell ref="B89:B90"/>
    <mergeCell ref="D18:E18"/>
    <mergeCell ref="I18:K18"/>
    <mergeCell ref="F18:H18"/>
    <mergeCell ref="L18:O18"/>
    <mergeCell ref="B23:B24"/>
    <mergeCell ref="B26:B27"/>
    <mergeCell ref="A23:A25"/>
    <mergeCell ref="A26:A28"/>
    <mergeCell ref="A29:A31"/>
    <mergeCell ref="B29:B30"/>
    <mergeCell ref="A56:A58"/>
    <mergeCell ref="B56:B57"/>
    <mergeCell ref="A59:A61"/>
    <mergeCell ref="B59:B60"/>
    <mergeCell ref="A38:A40"/>
    <mergeCell ref="B38:B39"/>
    <mergeCell ref="A41:A43"/>
    <mergeCell ref="B41:B42"/>
    <mergeCell ref="A32:A34"/>
    <mergeCell ref="B32:B33"/>
    <mergeCell ref="A35:A37"/>
    <mergeCell ref="B35:B36"/>
    <mergeCell ref="A50:A52"/>
    <mergeCell ref="B50:B51"/>
    <mergeCell ref="B211:O211"/>
    <mergeCell ref="B212:O212"/>
    <mergeCell ref="B16:O16"/>
    <mergeCell ref="A74:A76"/>
    <mergeCell ref="B74:B75"/>
    <mergeCell ref="B209:O209"/>
    <mergeCell ref="A77:A79"/>
    <mergeCell ref="B77:B78"/>
    <mergeCell ref="A80:A82"/>
    <mergeCell ref="B80:B81"/>
    <mergeCell ref="A68:A70"/>
    <mergeCell ref="B68:B69"/>
    <mergeCell ref="A71:A73"/>
    <mergeCell ref="B71:B72"/>
    <mergeCell ref="A62:A64"/>
    <mergeCell ref="A53:A55"/>
    <mergeCell ref="B53:B54"/>
    <mergeCell ref="A44:A46"/>
    <mergeCell ref="B44:B45"/>
    <mergeCell ref="A47:A49"/>
    <mergeCell ref="B47:B48"/>
    <mergeCell ref="B62:B63"/>
    <mergeCell ref="A65:A67"/>
    <mergeCell ref="B65:B66"/>
  </mergeCells>
  <pageMargins left="0.31496062992125984" right="0.31496062992125984" top="0.74803149606299213" bottom="0.74803149606299213" header="0.31496062992125984" footer="0.31496062992125984"/>
  <pageSetup scale="50" fitToHeight="0" orientation="landscape" r:id="rId1"/>
  <rowBreaks count="3" manualBreakCount="3">
    <brk id="76" max="14" man="1"/>
    <brk id="130" max="14" man="1"/>
    <brk id="181"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
  <sheetViews>
    <sheetView showGridLines="0" workbookViewId="0"/>
  </sheetViews>
  <sheetFormatPr defaultRowHeight="12.75" x14ac:dyDescent="0.2"/>
  <sheetData/>
  <sheetProtection algorithmName="SHA-512" hashValue="HRfXIXsPgdH8Gr5fx5zUHoudyvn4HRRV6y0AKBnlVO6O8ykABfIpoJ/OU+2IkJV9mpwBR7TZ9VpI+RlWuEkWmQ==" saltValue="taYixsF+az6S44ztqLwZt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V47"/>
  <sheetViews>
    <sheetView showGridLines="0" view="pageBreakPreview" zoomScaleNormal="100" zoomScaleSheetLayoutView="100" workbookViewId="0">
      <selection activeCell="J29" sqref="J29"/>
    </sheetView>
  </sheetViews>
  <sheetFormatPr defaultColWidth="9.140625" defaultRowHeight="12.75" x14ac:dyDescent="0.2"/>
  <cols>
    <col min="1" max="7" width="9.140625" style="5"/>
    <col min="8" max="8" width="7" style="5" customWidth="1"/>
    <col min="9" max="9" width="11.28515625" style="5" customWidth="1"/>
    <col min="10" max="13" width="9.140625" style="5"/>
    <col min="14" max="14" width="8.7109375" customWidth="1"/>
    <col min="15" max="16384" width="9.140625" style="5"/>
  </cols>
  <sheetData>
    <row r="1" spans="3:11" s="2" customFormat="1" ht="21.75" x14ac:dyDescent="0.2">
      <c r="C1" s="766"/>
      <c r="D1" s="766"/>
      <c r="E1" s="766"/>
      <c r="F1" s="271"/>
      <c r="G1" s="271"/>
      <c r="H1" s="271"/>
      <c r="I1" s="1"/>
    </row>
    <row r="2" spans="3:11" s="2" customFormat="1" ht="18" x14ac:dyDescent="0.25">
      <c r="C2" s="264"/>
      <c r="D2" s="767"/>
      <c r="E2" s="767"/>
      <c r="F2" s="767"/>
      <c r="G2" s="767"/>
      <c r="H2" s="265"/>
    </row>
    <row r="3" spans="3:11" s="2" customFormat="1" ht="18" x14ac:dyDescent="0.25">
      <c r="C3" s="264"/>
      <c r="D3" s="266"/>
      <c r="E3" s="266"/>
      <c r="F3" s="266"/>
      <c r="G3" s="266"/>
      <c r="H3" s="267"/>
    </row>
    <row r="4" spans="3:11" s="2" customFormat="1" ht="18" x14ac:dyDescent="0.25">
      <c r="C4" s="268"/>
      <c r="D4" s="767"/>
      <c r="E4" s="767"/>
      <c r="F4" s="268"/>
      <c r="G4" s="268"/>
      <c r="H4" s="29"/>
      <c r="I4" s="9"/>
    </row>
    <row r="5" spans="3:11" s="2" customFormat="1" ht="18" x14ac:dyDescent="0.25">
      <c r="C5" s="268"/>
      <c r="D5" s="266"/>
      <c r="E5" s="266"/>
      <c r="F5" s="268"/>
      <c r="G5" s="268"/>
      <c r="H5" s="29"/>
      <c r="I5" s="9"/>
    </row>
    <row r="6" spans="3:11" s="2" customFormat="1" ht="18" x14ac:dyDescent="0.25">
      <c r="C6" s="268"/>
      <c r="D6" s="272"/>
      <c r="E6" s="268"/>
      <c r="F6" s="269"/>
      <c r="G6" s="270"/>
      <c r="H6" s="29"/>
    </row>
    <row r="7" spans="3:11" s="2" customFormat="1" ht="15.75" x14ac:dyDescent="0.25">
      <c r="F7" s="3"/>
      <c r="G7" s="3"/>
      <c r="J7" s="7"/>
    </row>
    <row r="8" spans="3:11" s="2" customFormat="1" x14ac:dyDescent="0.2"/>
    <row r="9" spans="3:11" s="2" customFormat="1" ht="18" x14ac:dyDescent="0.25">
      <c r="C9" s="328"/>
    </row>
    <row r="10" spans="3:11" s="2" customFormat="1" ht="18" x14ac:dyDescent="0.25">
      <c r="C10" s="328"/>
    </row>
    <row r="11" spans="3:11" s="2" customFormat="1" ht="15" x14ac:dyDescent="0.2">
      <c r="D11" s="327" t="s">
        <v>200</v>
      </c>
      <c r="E11" s="329"/>
      <c r="F11" s="330"/>
      <c r="G11" s="330"/>
      <c r="H11" s="330"/>
      <c r="I11" s="327" t="s">
        <v>213</v>
      </c>
      <c r="J11" s="331"/>
      <c r="K11" s="284"/>
    </row>
    <row r="12" spans="3:11" s="2" customFormat="1" ht="15" x14ac:dyDescent="0.2">
      <c r="D12" s="285"/>
      <c r="E12" s="330"/>
      <c r="F12" s="330"/>
      <c r="G12" s="330"/>
      <c r="H12" s="330"/>
      <c r="J12" s="331"/>
      <c r="K12" s="284"/>
    </row>
    <row r="13" spans="3:11" s="2" customFormat="1" ht="15.75" x14ac:dyDescent="0.25">
      <c r="D13" s="327" t="s">
        <v>214</v>
      </c>
      <c r="E13" s="330"/>
      <c r="F13" s="330"/>
      <c r="G13" s="330"/>
      <c r="H13" s="330"/>
      <c r="I13" s="327" t="s">
        <v>206</v>
      </c>
      <c r="J13" s="332"/>
      <c r="K13" s="284"/>
    </row>
    <row r="14" spans="3:11" s="2" customFormat="1" ht="15.75" x14ac:dyDescent="0.25">
      <c r="D14" s="285"/>
      <c r="E14" s="330"/>
      <c r="F14" s="330"/>
      <c r="G14" s="330"/>
      <c r="H14" s="330"/>
      <c r="I14" s="286"/>
      <c r="J14" s="333"/>
      <c r="K14" s="284"/>
    </row>
    <row r="15" spans="3:11" s="2" customFormat="1" ht="15.75" x14ac:dyDescent="0.25">
      <c r="D15" s="327" t="s">
        <v>201</v>
      </c>
      <c r="E15" s="330"/>
      <c r="F15" s="330"/>
      <c r="G15" s="330"/>
      <c r="H15" s="330"/>
      <c r="I15" s="327" t="s">
        <v>303</v>
      </c>
      <c r="J15" s="332"/>
      <c r="K15" s="284"/>
    </row>
    <row r="16" spans="3:11" s="2" customFormat="1" ht="15.75" x14ac:dyDescent="0.25">
      <c r="D16" s="285"/>
      <c r="E16" s="330"/>
      <c r="F16" s="330"/>
      <c r="G16" s="330"/>
      <c r="H16" s="330"/>
      <c r="I16" s="287"/>
      <c r="J16" s="333"/>
      <c r="K16" s="284"/>
    </row>
    <row r="17" spans="1:15" s="2" customFormat="1" ht="15.75" x14ac:dyDescent="0.25">
      <c r="D17" s="327" t="s">
        <v>202</v>
      </c>
      <c r="E17" s="330"/>
      <c r="F17" s="330"/>
      <c r="G17" s="330"/>
      <c r="H17" s="330"/>
      <c r="I17" s="327" t="s">
        <v>304</v>
      </c>
      <c r="J17" s="332"/>
      <c r="K17" s="284"/>
    </row>
    <row r="18" spans="1:15" s="2" customFormat="1" ht="15.75" x14ac:dyDescent="0.25">
      <c r="D18" s="285"/>
      <c r="E18" s="330"/>
      <c r="F18" s="330"/>
      <c r="G18" s="330"/>
      <c r="H18" s="330"/>
      <c r="I18" s="327"/>
      <c r="J18" s="332"/>
      <c r="K18" s="284"/>
    </row>
    <row r="19" spans="1:15" s="2" customFormat="1" ht="15.75" customHeight="1" x14ac:dyDescent="0.25">
      <c r="D19" s="327" t="s">
        <v>203</v>
      </c>
      <c r="E19" s="330"/>
      <c r="F19" s="330"/>
      <c r="G19" s="330"/>
      <c r="H19" s="330"/>
      <c r="I19" s="327" t="s">
        <v>394</v>
      </c>
      <c r="J19" s="332"/>
      <c r="K19" s="284"/>
      <c r="L19" s="564"/>
      <c r="M19" s="564"/>
      <c r="N19" s="564"/>
    </row>
    <row r="20" spans="1:15" s="2" customFormat="1" ht="15.75" x14ac:dyDescent="0.25">
      <c r="D20" s="288"/>
      <c r="E20" s="330"/>
      <c r="F20" s="330"/>
      <c r="G20" s="330"/>
      <c r="H20" s="334"/>
      <c r="I20" s="327"/>
      <c r="J20" s="333"/>
      <c r="K20" s="284"/>
    </row>
    <row r="21" spans="1:15" s="2" customFormat="1" ht="15" x14ac:dyDescent="0.2">
      <c r="D21" s="327" t="s">
        <v>204</v>
      </c>
      <c r="E21" s="330"/>
      <c r="F21" s="330"/>
      <c r="G21" s="330"/>
      <c r="H21" s="334"/>
      <c r="I21" s="327" t="s">
        <v>395</v>
      </c>
      <c r="J21"/>
      <c r="K21" s="284"/>
    </row>
    <row r="22" spans="1:15" s="2" customFormat="1" ht="15.75" x14ac:dyDescent="0.25">
      <c r="D22" s="288"/>
      <c r="E22" s="330"/>
      <c r="F22" s="330"/>
      <c r="G22" s="330"/>
      <c r="H22" s="335"/>
      <c r="I22" s="285"/>
      <c r="K22" s="284"/>
    </row>
    <row r="23" spans="1:15" s="2" customFormat="1" ht="15.75" x14ac:dyDescent="0.25">
      <c r="D23" s="327" t="s">
        <v>205</v>
      </c>
      <c r="E23" s="330"/>
      <c r="F23" s="330"/>
      <c r="G23" s="330"/>
      <c r="H23" s="335"/>
      <c r="I23" s="327" t="s">
        <v>396</v>
      </c>
      <c r="J23" s="332"/>
      <c r="K23" s="284"/>
    </row>
    <row r="24" spans="1:15" s="2" customFormat="1" ht="15.75" x14ac:dyDescent="0.25">
      <c r="C24" s="282"/>
      <c r="D24" s="336"/>
      <c r="E24" s="330"/>
      <c r="F24" s="333"/>
      <c r="G24" s="335"/>
      <c r="H24" s="335"/>
      <c r="I24" s="285"/>
      <c r="J24" s="333"/>
      <c r="K24" s="290"/>
    </row>
    <row r="25" spans="1:15" s="2" customFormat="1" ht="15.75" x14ac:dyDescent="0.25">
      <c r="A25" s="4" t="s">
        <v>42</v>
      </c>
      <c r="B25" s="5"/>
      <c r="C25" s="5"/>
      <c r="D25" s="337"/>
      <c r="E25" s="337"/>
      <c r="F25" s="333"/>
      <c r="G25" s="335"/>
      <c r="H25" s="335"/>
      <c r="I25" s="285"/>
      <c r="J25" s="333"/>
      <c r="K25" s="290"/>
    </row>
    <row r="26" spans="1:15" s="2" customFormat="1" ht="15" x14ac:dyDescent="0.2">
      <c r="A26" s="180" t="s">
        <v>2</v>
      </c>
      <c r="B26" s="768" t="s">
        <v>51</v>
      </c>
      <c r="C26" s="768"/>
      <c r="D26" s="768"/>
      <c r="E26" s="768"/>
      <c r="F26" s="768"/>
      <c r="G26" s="768"/>
      <c r="H26" s="768"/>
      <c r="I26" s="330"/>
      <c r="J26" s="330"/>
      <c r="K26" s="284"/>
    </row>
    <row r="27" spans="1:15" s="2" customFormat="1" ht="15" x14ac:dyDescent="0.2">
      <c r="A27" s="180" t="s">
        <v>3</v>
      </c>
      <c r="B27" s="768" t="s">
        <v>210</v>
      </c>
      <c r="C27" s="768"/>
      <c r="D27" s="768"/>
      <c r="E27" s="768"/>
      <c r="F27" s="768"/>
      <c r="G27" s="768"/>
      <c r="H27" s="768"/>
      <c r="I27" s="330"/>
      <c r="J27" s="330"/>
      <c r="K27" s="284"/>
    </row>
    <row r="28" spans="1:15" s="2" customFormat="1" x14ac:dyDescent="0.2">
      <c r="A28" s="180" t="s">
        <v>98</v>
      </c>
      <c r="B28" s="765" t="s">
        <v>209</v>
      </c>
      <c r="C28" s="765"/>
      <c r="D28" s="765"/>
      <c r="E28" s="765"/>
      <c r="F28" s="765"/>
      <c r="G28" s="765"/>
      <c r="H28" s="765"/>
    </row>
    <row r="29" spans="1:15" s="2" customFormat="1" ht="12.75" customHeight="1" x14ac:dyDescent="0.2">
      <c r="A29" s="11" t="s">
        <v>122</v>
      </c>
      <c r="B29" s="764" t="s">
        <v>141</v>
      </c>
      <c r="C29" s="764"/>
      <c r="D29" s="764"/>
      <c r="E29" s="764"/>
      <c r="F29" s="764"/>
      <c r="G29" s="764"/>
      <c r="H29" s="764"/>
      <c r="I29" s="764"/>
      <c r="J29" s="764"/>
      <c r="K29" s="764"/>
      <c r="L29" s="764"/>
      <c r="M29" s="764"/>
      <c r="N29" s="764"/>
    </row>
    <row r="30" spans="1:15" s="2" customFormat="1" ht="12.75" customHeight="1" x14ac:dyDescent="0.2">
      <c r="A30" s="11" t="s">
        <v>123</v>
      </c>
      <c r="B30" s="764" t="s">
        <v>159</v>
      </c>
      <c r="C30" s="764"/>
      <c r="D30" s="764"/>
      <c r="E30" s="764"/>
      <c r="F30" s="764"/>
      <c r="G30" s="764"/>
      <c r="H30" s="764"/>
      <c r="I30" s="764"/>
      <c r="J30" s="764"/>
      <c r="K30" s="764"/>
      <c r="L30" s="764"/>
      <c r="M30" s="764"/>
      <c r="N30" s="764"/>
    </row>
    <row r="31" spans="1:15" ht="15.75" x14ac:dyDescent="0.25">
      <c r="A31" s="142"/>
      <c r="B31" s="283"/>
      <c r="C31" s="283"/>
      <c r="D31" s="283"/>
      <c r="E31" s="283"/>
      <c r="F31" s="283"/>
      <c r="G31" s="283"/>
      <c r="H31" s="283"/>
      <c r="I31" s="548"/>
      <c r="J31" s="548"/>
      <c r="K31" s="548"/>
      <c r="L31" s="548"/>
      <c r="M31" s="2"/>
      <c r="N31" s="2"/>
      <c r="O31" s="2"/>
    </row>
    <row r="32" spans="1:15" x14ac:dyDescent="0.2">
      <c r="I32" s="548"/>
      <c r="J32" s="548"/>
      <c r="K32" s="548"/>
      <c r="L32" s="548"/>
      <c r="M32" s="283"/>
      <c r="N32" s="2"/>
      <c r="O32" s="2"/>
    </row>
    <row r="33" spans="1:256" x14ac:dyDescent="0.2">
      <c r="C33" s="12"/>
      <c r="I33" s="283"/>
      <c r="J33" s="283"/>
      <c r="K33" s="283"/>
      <c r="L33" s="283"/>
      <c r="M33" s="283"/>
    </row>
    <row r="34" spans="1:256" x14ac:dyDescent="0.2">
      <c r="H34" s="6"/>
    </row>
    <row r="35" spans="1:256" x14ac:dyDescent="0.2">
      <c r="F35" s="6"/>
      <c r="G35" s="6"/>
      <c r="H35" s="6"/>
    </row>
    <row r="36" spans="1:256" x14ac:dyDescent="0.2">
      <c r="F36" s="6"/>
      <c r="G36" s="6"/>
      <c r="H36" s="10"/>
    </row>
    <row r="37" spans="1:256" x14ac:dyDescent="0.2">
      <c r="F37" s="283"/>
      <c r="G37" s="283"/>
      <c r="H37" s="10"/>
    </row>
    <row r="38" spans="1:256" x14ac:dyDescent="0.2">
      <c r="F38" s="283"/>
      <c r="G38" s="283"/>
      <c r="H38" s="10"/>
      <c r="I38" s="10"/>
    </row>
    <row r="39" spans="1:256" ht="15.75" x14ac:dyDescent="0.25">
      <c r="F39" s="142"/>
      <c r="G39" s="142"/>
      <c r="H39" s="142"/>
      <c r="I39" s="10"/>
      <c r="P39" s="142"/>
      <c r="Q39" s="142"/>
      <c r="R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2"/>
      <c r="BR39" s="142"/>
      <c r="BS39" s="142"/>
      <c r="BT39" s="142"/>
      <c r="BU39" s="142"/>
      <c r="BV39" s="142"/>
      <c r="BW39" s="142"/>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42"/>
      <c r="DV39" s="142"/>
      <c r="DW39" s="142"/>
      <c r="DX39" s="142"/>
      <c r="DY39" s="142"/>
      <c r="DZ39" s="142"/>
      <c r="EA39" s="142"/>
      <c r="EB39" s="142"/>
      <c r="EC39" s="142"/>
      <c r="ED39" s="142"/>
      <c r="EE39" s="142"/>
      <c r="EF39" s="142"/>
      <c r="EG39" s="142"/>
      <c r="EH39" s="142"/>
      <c r="EI39" s="142"/>
      <c r="EJ39" s="142"/>
      <c r="EK39" s="142"/>
      <c r="EL39" s="142"/>
      <c r="EM39" s="142"/>
      <c r="EN39" s="142"/>
      <c r="EO39" s="142"/>
      <c r="EP39" s="142"/>
      <c r="EQ39" s="142"/>
      <c r="ER39" s="142"/>
      <c r="ES39" s="142"/>
      <c r="ET39" s="142"/>
      <c r="EU39" s="142"/>
      <c r="EV39" s="142"/>
      <c r="EW39" s="142"/>
      <c r="EX39" s="142"/>
      <c r="EY39" s="142"/>
      <c r="EZ39" s="142"/>
      <c r="FA39" s="142"/>
      <c r="FB39" s="142"/>
      <c r="FC39" s="142"/>
      <c r="FD39" s="142"/>
      <c r="FE39" s="142"/>
      <c r="FF39" s="142"/>
      <c r="FG39" s="142"/>
      <c r="FH39" s="142"/>
      <c r="FI39" s="142"/>
      <c r="FJ39" s="142"/>
      <c r="FK39" s="142"/>
      <c r="FL39" s="142"/>
      <c r="FM39" s="142"/>
      <c r="FN39" s="142"/>
      <c r="FO39" s="142"/>
      <c r="FP39" s="142"/>
      <c r="FQ39" s="142"/>
      <c r="FR39" s="142"/>
      <c r="FS39" s="142"/>
      <c r="FT39" s="142"/>
      <c r="FU39" s="142"/>
      <c r="FV39" s="142"/>
      <c r="FW39" s="142"/>
      <c r="FX39" s="142"/>
      <c r="FY39" s="142"/>
      <c r="FZ39" s="142"/>
      <c r="GA39" s="142"/>
      <c r="GB39" s="142"/>
      <c r="GC39" s="142"/>
      <c r="GD39" s="142"/>
      <c r="GE39" s="142"/>
      <c r="GF39" s="142"/>
      <c r="GG39" s="142"/>
      <c r="GH39" s="142"/>
      <c r="GI39" s="142"/>
      <c r="GJ39" s="142"/>
      <c r="GK39" s="142"/>
      <c r="GL39" s="142"/>
      <c r="GM39" s="142"/>
      <c r="GN39" s="142"/>
      <c r="GO39" s="142"/>
      <c r="GP39" s="142"/>
      <c r="GQ39" s="142"/>
      <c r="GR39" s="142"/>
      <c r="GS39" s="142"/>
      <c r="GT39" s="142"/>
      <c r="GU39" s="142"/>
      <c r="GV39" s="142"/>
      <c r="GW39" s="142"/>
      <c r="GX39" s="142"/>
      <c r="GY39" s="142"/>
      <c r="GZ39" s="142"/>
      <c r="HA39" s="142"/>
      <c r="HB39" s="142"/>
      <c r="HC39" s="142"/>
      <c r="HD39" s="142"/>
      <c r="HE39" s="142"/>
      <c r="HF39" s="142"/>
      <c r="HG39" s="142"/>
      <c r="HH39" s="142"/>
      <c r="HI39" s="142"/>
      <c r="HJ39" s="142"/>
      <c r="HK39" s="142"/>
      <c r="HL39" s="142"/>
      <c r="HM39" s="142"/>
      <c r="HN39" s="142"/>
      <c r="HO39" s="142"/>
      <c r="HP39" s="142"/>
      <c r="HQ39" s="142"/>
      <c r="HR39" s="142"/>
      <c r="HS39" s="142"/>
      <c r="HT39" s="142"/>
      <c r="HU39" s="142"/>
      <c r="HV39" s="142"/>
      <c r="HW39" s="142"/>
      <c r="HX39" s="142"/>
      <c r="HY39" s="142"/>
      <c r="HZ39" s="142"/>
      <c r="IA39" s="142"/>
      <c r="IB39" s="142"/>
      <c r="IC39" s="142"/>
      <c r="ID39" s="142"/>
      <c r="IE39" s="142"/>
      <c r="IF39" s="142"/>
      <c r="IG39" s="142"/>
      <c r="IH39" s="142"/>
      <c r="II39" s="142"/>
      <c r="IJ39" s="142"/>
      <c r="IK39" s="142"/>
      <c r="IL39" s="142"/>
      <c r="IM39" s="142"/>
      <c r="IN39" s="142"/>
      <c r="IO39" s="142"/>
      <c r="IP39" s="142"/>
      <c r="IQ39" s="142"/>
      <c r="IR39" s="142"/>
      <c r="IS39" s="142"/>
      <c r="IT39" s="142"/>
      <c r="IU39" s="142"/>
      <c r="IV39" s="142"/>
    </row>
    <row r="40" spans="1:256" x14ac:dyDescent="0.2">
      <c r="F40" s="281"/>
      <c r="G40" s="281"/>
      <c r="I40" s="10"/>
    </row>
    <row r="41" spans="1:256" ht="15.75" x14ac:dyDescent="0.25">
      <c r="F41" s="281"/>
      <c r="G41" s="281"/>
      <c r="I41" s="142"/>
      <c r="J41" s="142"/>
      <c r="K41" s="142"/>
      <c r="L41" s="142"/>
      <c r="M41" s="142"/>
      <c r="O41" s="142"/>
    </row>
    <row r="42" spans="1:256" x14ac:dyDescent="0.2">
      <c r="F42" s="281"/>
      <c r="G42" s="281"/>
    </row>
    <row r="43" spans="1:256" x14ac:dyDescent="0.2">
      <c r="F43" s="281"/>
      <c r="G43" s="281"/>
    </row>
    <row r="44" spans="1:256" x14ac:dyDescent="0.2">
      <c r="F44" s="281"/>
      <c r="G44" s="281"/>
    </row>
    <row r="45" spans="1:256" x14ac:dyDescent="0.2">
      <c r="F45" s="281"/>
      <c r="G45" s="281"/>
    </row>
    <row r="46" spans="1:256" x14ac:dyDescent="0.2">
      <c r="F46" s="281"/>
      <c r="G46" s="281"/>
    </row>
    <row r="47" spans="1:256" x14ac:dyDescent="0.2">
      <c r="A47" s="281"/>
      <c r="B47" s="281"/>
      <c r="C47" s="281"/>
      <c r="D47" s="281"/>
      <c r="E47" s="281"/>
      <c r="F47" s="281"/>
      <c r="G47" s="281"/>
    </row>
  </sheetData>
  <sheetProtection algorithmName="SHA-512" hashValue="3Y5jUDqzoqUu8Mm4UuoFRbmnjrwsYvHEpyiLo7OMhur2iFO1Z1aUrisM6+XQ0yzQDzeC5+3Lm3gSkgfMpCkaGw==" saltValue="oTuDSgS9wCAAfd59Ocb9Og==" spinCount="100000" sheet="1" objects="1" scenarios="1"/>
  <mergeCells count="8">
    <mergeCell ref="B29:N29"/>
    <mergeCell ref="B30:N30"/>
    <mergeCell ref="B28:H28"/>
    <mergeCell ref="C1:E1"/>
    <mergeCell ref="D2:G2"/>
    <mergeCell ref="D4:E4"/>
    <mergeCell ref="B26:H26"/>
    <mergeCell ref="B27:H27"/>
  </mergeCells>
  <phoneticPr fontId="2" type="noConversion"/>
  <hyperlinks>
    <hyperlink ref="D11" location="'1. Info'!A1" display="1. Info" xr:uid="{00000000-0004-0000-0100-000000000000}"/>
    <hyperlink ref="D13" location="'2. Table of Contents'!A1" display="2. Table of Contents" xr:uid="{00000000-0004-0000-0100-000001000000}"/>
    <hyperlink ref="D15" location="'3. Data_Input_Sheet'!A1" display="3. Data_Input_Sheet" xr:uid="{00000000-0004-0000-0100-000002000000}"/>
    <hyperlink ref="D17" location="'4. Rate_Base'!A1" display="4. Rate_Base" xr:uid="{00000000-0004-0000-0100-000003000000}"/>
    <hyperlink ref="D19" location="'5. Utility Income'!A1" display="5. Utility Income" xr:uid="{00000000-0004-0000-0100-000004000000}"/>
    <hyperlink ref="D21" location="'6. Taxes_PILs'!A1" display="6. Taxes_PILs" xr:uid="{00000000-0004-0000-0100-000005000000}"/>
    <hyperlink ref="D23" location="'7. Cost_of_Capital'!A1" display="7. Cost_of_Capital" xr:uid="{00000000-0004-0000-0100-000006000000}"/>
    <hyperlink ref="I11" location="'8. Rev_Def_Suff'!A1" display="8. Rev_Def_Suff" xr:uid="{00000000-0004-0000-0100-000007000000}"/>
    <hyperlink ref="I13" location="'9. Rev_Reqt'!A1" display="9. Rev_Reqt" xr:uid="{00000000-0004-0000-0100-000008000000}"/>
    <hyperlink ref="I15" location="_10._Load_Forecast_A1" display="10. Load Forecast" xr:uid="{00000000-0004-0000-0100-000009000000}"/>
    <hyperlink ref="I17" location="_11._Cost_Allocation_A1" display="11. Cost Allocation" xr:uid="{00000000-0004-0000-0100-00000A000000}"/>
    <hyperlink ref="I21" location="_12._Rate_Design_A1" display="12. Rate Design and Revenue Reconciliation" xr:uid="{00000000-0004-0000-0100-00000B000000}"/>
    <hyperlink ref="I23" location="_13._Tracking_Sheet_A1" display="13. Tracking Sheet" xr:uid="{00000000-0004-0000-0100-00000C000000}"/>
    <hyperlink ref="I19" location="'12. Res_Rate_Design'!A1" display="12. Residential Rate Design" xr:uid="{00000000-0004-0000-0100-00000D000000}"/>
  </hyperlinks>
  <pageMargins left="0.31496062992125984" right="0.31496062992125984" top="0.74803149606299213" bottom="0.74803149606299213" header="0.31496062992125984" footer="0.31496062992125984"/>
  <pageSetup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AC89"/>
  <sheetViews>
    <sheetView showGridLines="0" view="pageBreakPreview" topLeftCell="A7" zoomScaleNormal="100" zoomScaleSheetLayoutView="100" workbookViewId="0">
      <selection activeCell="E34" sqref="E34"/>
    </sheetView>
  </sheetViews>
  <sheetFormatPr defaultColWidth="9.140625" defaultRowHeight="12.75" x14ac:dyDescent="0.2"/>
  <cols>
    <col min="1" max="1" width="2.7109375" style="5" customWidth="1"/>
    <col min="2" max="2" width="10.7109375" style="5" customWidth="1"/>
    <col min="3" max="3" width="2.140625" style="5" customWidth="1"/>
    <col min="4" max="4" width="39.42578125" style="5" customWidth="1"/>
    <col min="5" max="5" width="15.28515625" style="5" customWidth="1"/>
    <col min="6" max="6" width="1" style="5" customWidth="1"/>
    <col min="7" max="7" width="4" style="5" customWidth="1"/>
    <col min="8" max="8" width="1" style="5" customWidth="1"/>
    <col min="9" max="9" width="13.140625" style="5" customWidth="1"/>
    <col min="10" max="10" width="1.140625" style="5" customWidth="1"/>
    <col min="11" max="11" width="2.5703125" style="5" customWidth="1"/>
    <col min="12" max="12" width="1.140625" style="5" customWidth="1"/>
    <col min="13" max="13" width="14.7109375" style="5" customWidth="1"/>
    <col min="14" max="14" width="1.140625" style="5" customWidth="1"/>
    <col min="15" max="15" width="3.85546875" style="5" customWidth="1"/>
    <col min="16" max="16" width="1.140625" style="5" customWidth="1"/>
    <col min="17" max="17" width="14.42578125" style="5" customWidth="1"/>
    <col min="18" max="18" width="2" style="5" customWidth="1"/>
    <col min="19" max="19" width="2.85546875" style="5" customWidth="1"/>
    <col min="20" max="20" width="1.140625" style="5" customWidth="1"/>
    <col min="21" max="21" width="15.7109375" style="5" customWidth="1"/>
    <col min="22" max="22" width="0.85546875" style="5" customWidth="1"/>
    <col min="23" max="23" width="3.7109375" style="5" customWidth="1"/>
    <col min="24" max="24" width="1.7109375" style="5" customWidth="1"/>
    <col min="25" max="25" width="9.140625" style="5"/>
    <col min="26" max="27" width="15.42578125" style="5" customWidth="1"/>
    <col min="28" max="16384" width="9.140625" style="5"/>
  </cols>
  <sheetData>
    <row r="1" spans="2:24" s="2" customFormat="1" ht="21.75" x14ac:dyDescent="0.2">
      <c r="C1" s="773"/>
      <c r="D1" s="773"/>
      <c r="E1" s="773"/>
      <c r="F1" s="773"/>
      <c r="G1" s="773"/>
      <c r="H1" s="773"/>
      <c r="I1" s="773"/>
      <c r="J1" s="773"/>
      <c r="K1" s="773"/>
      <c r="L1" s="773"/>
      <c r="M1" s="773"/>
      <c r="N1" s="8"/>
      <c r="O1" s="8"/>
      <c r="P1" s="8"/>
      <c r="Q1" s="8"/>
      <c r="R1" s="8"/>
      <c r="S1" s="8"/>
      <c r="T1" s="8"/>
      <c r="U1" s="143" t="str">
        <f>CONCATENATE('2. Table of Contents'!$F$6," ",'2. Table of Contents'!$G$6)</f>
        <v xml:space="preserve"> </v>
      </c>
      <c r="V1" s="1"/>
    </row>
    <row r="2" spans="2:24" s="2" customFormat="1" ht="18" x14ac:dyDescent="0.25">
      <c r="C2" s="778"/>
      <c r="D2" s="778"/>
      <c r="E2" s="778"/>
      <c r="F2" s="778"/>
      <c r="G2" s="778"/>
      <c r="H2" s="778"/>
      <c r="I2" s="778"/>
      <c r="J2" s="778"/>
      <c r="K2" s="778"/>
      <c r="L2" s="35"/>
      <c r="N2" s="35"/>
      <c r="O2" s="35"/>
      <c r="P2" s="35"/>
      <c r="Q2" s="35"/>
      <c r="R2" s="35"/>
      <c r="S2" s="35"/>
      <c r="T2" s="35"/>
      <c r="U2" s="291"/>
    </row>
    <row r="3" spans="2:24" s="2" customFormat="1" ht="18" x14ac:dyDescent="0.25">
      <c r="C3" s="778"/>
      <c r="D3" s="778"/>
      <c r="E3" s="778"/>
      <c r="F3" s="778"/>
      <c r="G3" s="778"/>
      <c r="H3" s="778"/>
      <c r="I3" s="778"/>
      <c r="J3" s="778"/>
      <c r="K3" s="778"/>
      <c r="L3" s="35"/>
      <c r="N3" s="35"/>
      <c r="O3" s="35"/>
      <c r="P3" s="35"/>
      <c r="Q3" s="35"/>
      <c r="R3" s="35"/>
      <c r="S3" s="35"/>
      <c r="T3" s="35"/>
      <c r="U3" s="291"/>
    </row>
    <row r="4" spans="2:24" s="2" customFormat="1" ht="18" x14ac:dyDescent="0.25">
      <c r="C4" s="778"/>
      <c r="D4" s="778"/>
      <c r="E4" s="778"/>
      <c r="F4" s="778"/>
      <c r="G4" s="778"/>
      <c r="H4" s="778"/>
      <c r="I4" s="778"/>
      <c r="J4" s="778"/>
      <c r="K4" s="778"/>
      <c r="L4" s="35"/>
      <c r="N4" s="35"/>
      <c r="O4" s="35"/>
      <c r="P4" s="35"/>
      <c r="Q4" s="35"/>
      <c r="R4" s="35"/>
      <c r="S4" s="35"/>
      <c r="T4" s="35"/>
      <c r="U4" s="289"/>
    </row>
    <row r="5" spans="2:24" s="2" customFormat="1" ht="15.75" x14ac:dyDescent="0.25">
      <c r="G5" s="3"/>
      <c r="H5" s="3"/>
      <c r="I5" s="3"/>
      <c r="J5" s="3"/>
      <c r="U5" s="284"/>
    </row>
    <row r="6" spans="2:24" s="2" customFormat="1" ht="36.75" customHeight="1" x14ac:dyDescent="0.2">
      <c r="U6" s="284"/>
    </row>
    <row r="7" spans="2:24" ht="4.5" customHeight="1" x14ac:dyDescent="0.2"/>
    <row r="8" spans="2:24" ht="22.5" customHeight="1" x14ac:dyDescent="0.2">
      <c r="E8" s="774"/>
      <c r="F8" s="774"/>
      <c r="G8" s="774"/>
      <c r="H8" s="774"/>
      <c r="I8" s="774"/>
      <c r="J8" s="774"/>
      <c r="K8" s="774"/>
      <c r="L8" s="774"/>
      <c r="M8" s="774"/>
      <c r="N8" s="774"/>
      <c r="O8" s="774"/>
      <c r="P8" s="774"/>
      <c r="Q8" s="774"/>
      <c r="R8" s="774"/>
      <c r="S8" s="774"/>
      <c r="T8" s="774"/>
      <c r="U8" s="774"/>
      <c r="V8" s="140"/>
      <c r="W8" s="13"/>
      <c r="X8" s="14"/>
    </row>
    <row r="9" spans="2:24" ht="22.5" customHeight="1" x14ac:dyDescent="0.25">
      <c r="B9" s="368" t="s">
        <v>237</v>
      </c>
      <c r="D9" s="24"/>
      <c r="E9" s="140"/>
      <c r="F9" s="140"/>
      <c r="G9" s="140"/>
      <c r="H9" s="140"/>
      <c r="I9" s="140"/>
      <c r="J9" s="140"/>
      <c r="K9" s="140"/>
      <c r="L9" s="140"/>
      <c r="M9" s="140"/>
      <c r="N9" s="140"/>
      <c r="O9" s="140"/>
      <c r="P9" s="140"/>
      <c r="Q9" s="140"/>
      <c r="R9" s="140"/>
      <c r="S9" s="140"/>
      <c r="T9" s="140"/>
      <c r="U9" s="140"/>
      <c r="V9" s="140"/>
      <c r="W9" s="13"/>
      <c r="X9" s="14"/>
    </row>
    <row r="10" spans="2:24" ht="22.5" customHeight="1" x14ac:dyDescent="0.2">
      <c r="D10" s="24"/>
      <c r="E10" s="140"/>
      <c r="F10" s="140"/>
      <c r="G10" s="140"/>
      <c r="H10" s="140"/>
      <c r="I10" s="140"/>
      <c r="J10" s="140"/>
      <c r="K10" s="140"/>
      <c r="L10" s="140"/>
      <c r="M10" s="140"/>
      <c r="N10" s="140"/>
      <c r="O10" s="140"/>
      <c r="P10" s="140"/>
      <c r="Q10" s="140"/>
      <c r="R10" s="140"/>
      <c r="S10" s="140"/>
      <c r="T10" s="140"/>
      <c r="U10" s="140"/>
      <c r="V10" s="140"/>
      <c r="W10" s="13"/>
      <c r="X10" s="14"/>
    </row>
    <row r="11" spans="2:24" ht="10.5" customHeight="1" x14ac:dyDescent="0.2">
      <c r="V11" s="25"/>
    </row>
    <row r="12" spans="2:24" ht="12.75" customHeight="1" x14ac:dyDescent="0.2">
      <c r="E12" s="781" t="s">
        <v>155</v>
      </c>
      <c r="F12" s="68"/>
      <c r="G12" s="779" t="s">
        <v>3</v>
      </c>
      <c r="H12" s="25"/>
      <c r="I12" s="775" t="str">
        <f>IF(ISBLANK(M12),"","Adjustments")</f>
        <v/>
      </c>
      <c r="J12" s="68"/>
      <c r="K12" s="297"/>
      <c r="L12" s="297"/>
      <c r="M12" s="783"/>
      <c r="N12" s="297"/>
      <c r="O12" s="779" t="s">
        <v>147</v>
      </c>
      <c r="P12" s="297"/>
      <c r="Q12" s="775" t="str">
        <f>IF(ISBLANK(M12),"","Adjustments")</f>
        <v/>
      </c>
      <c r="R12" s="297"/>
      <c r="S12" s="297"/>
      <c r="T12" s="297"/>
      <c r="U12" s="781" t="s">
        <v>154</v>
      </c>
      <c r="V12" s="141"/>
    </row>
    <row r="13" spans="2:24" ht="27" customHeight="1" x14ac:dyDescent="0.2">
      <c r="E13" s="782"/>
      <c r="F13" s="68"/>
      <c r="G13" s="780"/>
      <c r="H13" s="25"/>
      <c r="I13" s="775"/>
      <c r="J13" s="68"/>
      <c r="K13" s="297"/>
      <c r="L13" s="297"/>
      <c r="M13" s="784"/>
      <c r="N13" s="297"/>
      <c r="O13" s="780"/>
      <c r="P13" s="297"/>
      <c r="Q13" s="775"/>
      <c r="R13" s="297"/>
      <c r="S13" s="297"/>
      <c r="T13" s="297"/>
      <c r="U13" s="782"/>
      <c r="V13" s="141"/>
    </row>
    <row r="14" spans="2:24" ht="10.5" customHeight="1" x14ac:dyDescent="0.2">
      <c r="J14" s="25"/>
      <c r="V14" s="25"/>
    </row>
    <row r="15" spans="2:24" x14ac:dyDescent="0.2">
      <c r="B15" s="294">
        <v>1</v>
      </c>
      <c r="C15" s="17" t="s">
        <v>7</v>
      </c>
      <c r="D15" s="17"/>
      <c r="J15" s="25"/>
      <c r="V15" s="25"/>
    </row>
    <row r="16" spans="2:24" x14ac:dyDescent="0.2">
      <c r="B16" s="295"/>
      <c r="C16" s="5" t="s">
        <v>100</v>
      </c>
      <c r="E16" s="346">
        <v>187041882.32480004</v>
      </c>
      <c r="F16" s="227"/>
      <c r="G16" s="351"/>
      <c r="H16" s="11"/>
      <c r="I16" s="346"/>
      <c r="J16" s="227"/>
      <c r="K16" s="352"/>
      <c r="L16" s="193"/>
      <c r="M16" s="228">
        <f>IF(ISBLANK(E16),0,E16+I16)</f>
        <v>187041882.32480004</v>
      </c>
      <c r="N16" s="193"/>
      <c r="O16" s="352"/>
      <c r="P16" s="193"/>
      <c r="Q16" s="346"/>
      <c r="R16" s="227"/>
      <c r="S16" s="352"/>
      <c r="T16" s="193"/>
      <c r="U16" s="229">
        <f>IF(ISBLANK(E16),"",E16+I16+Q16)</f>
        <v>187041882.32480004</v>
      </c>
      <c r="V16" s="18"/>
    </row>
    <row r="17" spans="2:29" ht="14.25" x14ac:dyDescent="0.2">
      <c r="B17" s="295"/>
      <c r="C17" s="5" t="s">
        <v>101</v>
      </c>
      <c r="E17" s="346">
        <v>-82017554.507335305</v>
      </c>
      <c r="F17" s="227"/>
      <c r="G17" s="478" t="s">
        <v>123</v>
      </c>
      <c r="H17" s="11"/>
      <c r="I17" s="346"/>
      <c r="J17" s="227"/>
      <c r="K17" s="352"/>
      <c r="L17" s="193"/>
      <c r="M17" s="229">
        <f>IF(ISBLANK(E17),0,E17+I17)</f>
        <v>-82017554.507335305</v>
      </c>
      <c r="N17" s="193"/>
      <c r="O17" s="352"/>
      <c r="P17" s="193"/>
      <c r="Q17" s="346"/>
      <c r="R17" s="227"/>
      <c r="S17" s="352"/>
      <c r="T17" s="193"/>
      <c r="U17" s="229">
        <f>IF(ISBLANK(E17),"",E17+I17+Q17)</f>
        <v>-82017554.507335305</v>
      </c>
      <c r="V17" s="18"/>
    </row>
    <row r="18" spans="2:29" x14ac:dyDescent="0.2">
      <c r="B18" s="295"/>
      <c r="C18" s="19" t="s">
        <v>85</v>
      </c>
      <c r="D18" s="19"/>
      <c r="E18" s="231"/>
      <c r="F18" s="231"/>
      <c r="G18" s="197"/>
      <c r="H18" s="197"/>
      <c r="I18" s="231"/>
      <c r="J18" s="231"/>
      <c r="K18" s="192"/>
      <c r="L18" s="192"/>
      <c r="M18" s="232"/>
      <c r="N18" s="192"/>
      <c r="O18" s="192"/>
      <c r="P18" s="192"/>
      <c r="Q18" s="231"/>
      <c r="R18" s="231"/>
      <c r="S18" s="192"/>
      <c r="T18" s="192"/>
      <c r="U18" s="231"/>
      <c r="V18" s="20"/>
    </row>
    <row r="19" spans="2:29" x14ac:dyDescent="0.2">
      <c r="B19" s="295"/>
      <c r="C19" s="5" t="s">
        <v>61</v>
      </c>
      <c r="E19" s="346">
        <v>15133537.498750471</v>
      </c>
      <c r="F19" s="227"/>
      <c r="G19" s="352"/>
      <c r="H19" s="192"/>
      <c r="I19" s="346"/>
      <c r="J19" s="227"/>
      <c r="K19" s="352"/>
      <c r="L19" s="193"/>
      <c r="M19" s="230">
        <f>IF(ISBLANK(E19),0,E19+I19)</f>
        <v>15133537.498750471</v>
      </c>
      <c r="N19" s="193"/>
      <c r="O19" s="352"/>
      <c r="P19" s="193"/>
      <c r="Q19" s="346"/>
      <c r="R19" s="227"/>
      <c r="S19" s="352"/>
      <c r="T19" s="193"/>
      <c r="U19" s="229">
        <f>IF(ISBLANK(E19),"",E19+I19+Q19)</f>
        <v>15133537.498750471</v>
      </c>
      <c r="V19" s="18"/>
    </row>
    <row r="20" spans="2:29" x14ac:dyDescent="0.2">
      <c r="B20" s="295"/>
      <c r="C20" s="5" t="s">
        <v>62</v>
      </c>
      <c r="E20" s="346">
        <v>98955673.799163997</v>
      </c>
      <c r="F20" s="227"/>
      <c r="G20" s="352"/>
      <c r="H20" s="192"/>
      <c r="I20" s="346"/>
      <c r="J20" s="227"/>
      <c r="K20" s="352"/>
      <c r="L20" s="193"/>
      <c r="M20" s="230">
        <f>IF(ISBLANK(E20),0,E20+I20)</f>
        <v>98955673.799163997</v>
      </c>
      <c r="N20" s="193"/>
      <c r="O20" s="352"/>
      <c r="P20" s="193"/>
      <c r="Q20" s="346"/>
      <c r="R20" s="227"/>
      <c r="S20" s="352"/>
      <c r="T20" s="193"/>
      <c r="U20" s="229">
        <f>IF(ISBLANK(E20),"",E20+I20+Q20)</f>
        <v>98955673.799163997</v>
      </c>
      <c r="V20" s="18"/>
      <c r="Y20" s="775"/>
    </row>
    <row r="21" spans="2:29" ht="14.25" x14ac:dyDescent="0.2">
      <c r="B21" s="295"/>
      <c r="C21" s="5" t="s">
        <v>63</v>
      </c>
      <c r="E21" s="347">
        <v>7.4999999999999997E-2</v>
      </c>
      <c r="F21" s="233"/>
      <c r="G21" s="478" t="s">
        <v>222</v>
      </c>
      <c r="H21" s="192"/>
      <c r="I21" s="727">
        <f>IF(ISBLANK(M21),"",IF(ISBLANK(E21),"",M21-E21))</f>
        <v>0</v>
      </c>
      <c r="J21" s="231"/>
      <c r="K21" s="192"/>
      <c r="L21" s="192"/>
      <c r="M21" s="347">
        <f>E21</f>
        <v>7.4999999999999997E-2</v>
      </c>
      <c r="N21" s="233"/>
      <c r="O21" s="478" t="s">
        <v>222</v>
      </c>
      <c r="P21" s="192"/>
      <c r="Q21" s="727">
        <f>IF(ISBLANK(U21),"",IF(ISBLANK(M21),"",U21-M21))</f>
        <v>0</v>
      </c>
      <c r="R21" s="192"/>
      <c r="S21" s="192"/>
      <c r="T21" s="192"/>
      <c r="U21" s="347">
        <f>E21</f>
        <v>7.4999999999999997E-2</v>
      </c>
      <c r="V21" s="174"/>
      <c r="W21" s="478" t="s">
        <v>222</v>
      </c>
      <c r="Y21" s="775"/>
    </row>
    <row r="22" spans="2:29" ht="10.5" customHeight="1" x14ac:dyDescent="0.2">
      <c r="B22" s="295"/>
      <c r="E22" s="225"/>
      <c r="F22" s="231"/>
      <c r="G22" s="192"/>
      <c r="H22" s="192"/>
      <c r="I22" s="225"/>
      <c r="J22" s="231"/>
      <c r="K22" s="192"/>
      <c r="L22" s="192"/>
      <c r="M22" s="233"/>
      <c r="N22" s="233"/>
      <c r="O22" s="234"/>
      <c r="P22" s="192"/>
      <c r="Q22" s="192"/>
      <c r="R22" s="192"/>
      <c r="S22" s="192"/>
      <c r="T22" s="192"/>
      <c r="U22" s="225"/>
      <c r="V22" s="20"/>
    </row>
    <row r="23" spans="2:29" x14ac:dyDescent="0.2">
      <c r="B23" s="294">
        <v>2</v>
      </c>
      <c r="C23" s="22" t="s">
        <v>47</v>
      </c>
      <c r="D23" s="22"/>
      <c r="E23" s="225"/>
      <c r="F23" s="231"/>
      <c r="G23" s="192"/>
      <c r="H23" s="192"/>
      <c r="I23" s="225"/>
      <c r="J23" s="231"/>
      <c r="K23" s="192"/>
      <c r="L23" s="192"/>
      <c r="M23" s="192"/>
      <c r="N23" s="192"/>
      <c r="O23" s="192"/>
      <c r="P23" s="192"/>
      <c r="Q23" s="192"/>
      <c r="R23" s="192"/>
      <c r="S23" s="192"/>
      <c r="T23" s="192"/>
      <c r="U23" s="225"/>
      <c r="V23" s="139"/>
      <c r="W23" s="15"/>
      <c r="X23" s="15"/>
      <c r="Y23" s="15"/>
      <c r="Z23" s="15"/>
      <c r="AA23" s="15"/>
      <c r="AB23" s="15"/>
      <c r="AC23" s="15"/>
    </row>
    <row r="24" spans="2:29" x14ac:dyDescent="0.2">
      <c r="B24" s="295"/>
      <c r="C24" s="23" t="s">
        <v>24</v>
      </c>
      <c r="D24" s="23"/>
      <c r="E24" s="225"/>
      <c r="F24" s="231"/>
      <c r="G24" s="192"/>
      <c r="H24" s="192"/>
      <c r="I24" s="225"/>
      <c r="J24" s="231"/>
      <c r="K24" s="192"/>
      <c r="L24" s="192"/>
      <c r="M24" s="192"/>
      <c r="N24" s="192"/>
      <c r="O24" s="192"/>
      <c r="P24" s="192"/>
      <c r="Q24" s="192"/>
      <c r="R24" s="192"/>
      <c r="S24" s="192"/>
      <c r="T24" s="192"/>
      <c r="U24" s="225"/>
      <c r="V24" s="139"/>
      <c r="W24" s="15"/>
      <c r="X24" s="15"/>
      <c r="Y24" s="15"/>
      <c r="Z24" s="15"/>
      <c r="AA24" s="15"/>
      <c r="AB24" s="15"/>
      <c r="AC24" s="15"/>
    </row>
    <row r="25" spans="2:29" x14ac:dyDescent="0.2">
      <c r="B25" s="295"/>
      <c r="C25" s="24" t="s">
        <v>113</v>
      </c>
      <c r="D25" s="24"/>
      <c r="E25" s="346">
        <v>20420990.967166699</v>
      </c>
      <c r="F25" s="227"/>
      <c r="G25" s="352"/>
      <c r="H25" s="192"/>
      <c r="I25" s="231">
        <f>IF(ISBLANK(M25),"",IF(ISBLANK(E25),"",M25-E25))</f>
        <v>0</v>
      </c>
      <c r="J25" s="231"/>
      <c r="K25" s="192"/>
      <c r="L25" s="192"/>
      <c r="M25" s="346">
        <f>E25</f>
        <v>20420990.967166699</v>
      </c>
      <c r="N25" s="227"/>
      <c r="O25" s="352"/>
      <c r="P25" s="192"/>
      <c r="Q25" s="231">
        <f>IF(ISBLANK(U25),"",IF(ISBLANK(M25),"",U25-M25))</f>
        <v>0</v>
      </c>
      <c r="R25" s="192"/>
      <c r="S25" s="192"/>
      <c r="T25" s="192"/>
      <c r="U25" s="346">
        <f>M25</f>
        <v>20420990.967166699</v>
      </c>
      <c r="V25" s="28"/>
      <c r="W25" s="353"/>
    </row>
    <row r="26" spans="2:29" x14ac:dyDescent="0.2">
      <c r="B26" s="295"/>
      <c r="C26" s="5" t="s">
        <v>109</v>
      </c>
      <c r="E26" s="346">
        <v>24771346.156729858</v>
      </c>
      <c r="F26" s="227"/>
      <c r="G26" s="352"/>
      <c r="H26" s="192"/>
      <c r="I26" s="231">
        <f>IF(ISBLANK(M26),"",IF(ISBLANK(E26),"",M26-E26))</f>
        <v>0</v>
      </c>
      <c r="J26" s="229"/>
      <c r="K26" s="192"/>
      <c r="L26" s="192"/>
      <c r="M26" s="346">
        <f>E26</f>
        <v>24771346.156729858</v>
      </c>
      <c r="N26" s="227"/>
      <c r="O26" s="352"/>
      <c r="P26" s="192"/>
      <c r="Q26" s="231">
        <f>IF(ISBLANK(U26),"",IF(ISBLANK(M26),"",U26-M26))</f>
        <v>0</v>
      </c>
      <c r="R26" s="192"/>
      <c r="S26" s="192"/>
      <c r="T26" s="192"/>
      <c r="U26" s="346">
        <f>M26</f>
        <v>24771346.156729858</v>
      </c>
      <c r="V26" s="28"/>
      <c r="W26" s="353"/>
      <c r="Z26" s="740"/>
      <c r="AA26" s="52"/>
    </row>
    <row r="27" spans="2:29" x14ac:dyDescent="0.2">
      <c r="B27" s="295"/>
      <c r="C27" s="19" t="s">
        <v>86</v>
      </c>
      <c r="D27" s="19"/>
      <c r="E27" s="225"/>
      <c r="F27" s="231"/>
      <c r="G27" s="192"/>
      <c r="H27" s="192"/>
      <c r="I27" s="225"/>
      <c r="J27" s="231"/>
      <c r="K27" s="192"/>
      <c r="L27" s="192"/>
      <c r="M27" s="225"/>
      <c r="N27" s="231"/>
      <c r="O27" s="192"/>
      <c r="P27" s="192"/>
      <c r="Q27" s="225"/>
      <c r="R27" s="192"/>
      <c r="S27" s="192"/>
      <c r="T27" s="192"/>
      <c r="U27" s="225"/>
      <c r="V27" s="20"/>
    </row>
    <row r="28" spans="2:29" x14ac:dyDescent="0.2">
      <c r="B28" s="295"/>
      <c r="C28" s="5" t="s">
        <v>68</v>
      </c>
      <c r="E28" s="346">
        <v>321846</v>
      </c>
      <c r="F28" s="227"/>
      <c r="G28" s="352"/>
      <c r="H28" s="192"/>
      <c r="I28" s="231">
        <f>IF(ISBLANK(M28),"",IF(ISBLANK(E28),"",M28-E28))</f>
        <v>0</v>
      </c>
      <c r="J28" s="231"/>
      <c r="K28" s="192"/>
      <c r="L28" s="192"/>
      <c r="M28" s="346">
        <f t="shared" ref="M28:M31" si="0">E28</f>
        <v>321846</v>
      </c>
      <c r="N28" s="227"/>
      <c r="O28" s="352"/>
      <c r="P28" s="192"/>
      <c r="Q28" s="231">
        <f>IF(ISBLANK(U28),"",IF(ISBLANK(M28),"",U28-M28))</f>
        <v>0</v>
      </c>
      <c r="R28" s="192"/>
      <c r="S28" s="192"/>
      <c r="T28" s="192"/>
      <c r="U28" s="346">
        <f>M28</f>
        <v>321846</v>
      </c>
      <c r="V28" s="28"/>
      <c r="W28" s="353"/>
    </row>
    <row r="29" spans="2:29" x14ac:dyDescent="0.2">
      <c r="B29" s="295"/>
      <c r="C29" s="5" t="s">
        <v>69</v>
      </c>
      <c r="E29" s="346">
        <v>226280</v>
      </c>
      <c r="F29" s="227"/>
      <c r="G29" s="352"/>
      <c r="H29" s="192"/>
      <c r="I29" s="231">
        <f>IF(ISBLANK(M29),"",IF(ISBLANK(E29),"",M29-E29))</f>
        <v>0</v>
      </c>
      <c r="J29" s="231"/>
      <c r="K29" s="192"/>
      <c r="L29" s="192"/>
      <c r="M29" s="346">
        <f t="shared" si="0"/>
        <v>226280</v>
      </c>
      <c r="N29" s="227"/>
      <c r="O29" s="352"/>
      <c r="P29" s="192"/>
      <c r="Q29" s="231">
        <f>IF(ISBLANK(U29),"",IF(ISBLANK(M29),"",U29-M29))</f>
        <v>0</v>
      </c>
      <c r="R29" s="192"/>
      <c r="S29" s="192"/>
      <c r="T29" s="192"/>
      <c r="U29" s="346">
        <f>M29</f>
        <v>226280</v>
      </c>
      <c r="V29" s="28"/>
      <c r="W29" s="353"/>
    </row>
    <row r="30" spans="2:29" x14ac:dyDescent="0.2">
      <c r="B30" s="295"/>
      <c r="C30" s="5" t="s">
        <v>70</v>
      </c>
      <c r="E30" s="346">
        <v>1119716</v>
      </c>
      <c r="F30" s="227"/>
      <c r="G30" s="352"/>
      <c r="H30" s="192"/>
      <c r="I30" s="231">
        <f>IF(ISBLANK(M30),"",IF(ISBLANK(E30),"",M30-E30))</f>
        <v>0</v>
      </c>
      <c r="J30" s="231"/>
      <c r="K30" s="192"/>
      <c r="L30" s="192"/>
      <c r="M30" s="346">
        <f t="shared" si="0"/>
        <v>1119716</v>
      </c>
      <c r="N30" s="227"/>
      <c r="O30" s="352"/>
      <c r="P30" s="192"/>
      <c r="Q30" s="231">
        <f>IF(ISBLANK(U30),"",IF(ISBLANK(M30),"",U30-M30))</f>
        <v>0</v>
      </c>
      <c r="R30" s="192"/>
      <c r="S30" s="192"/>
      <c r="T30" s="192"/>
      <c r="U30" s="346">
        <f>M30</f>
        <v>1119716</v>
      </c>
      <c r="V30" s="28"/>
      <c r="W30" s="353"/>
    </row>
    <row r="31" spans="2:29" x14ac:dyDescent="0.2">
      <c r="B31" s="295"/>
      <c r="C31" s="5" t="s">
        <v>71</v>
      </c>
      <c r="E31" s="709">
        <v>533522</v>
      </c>
      <c r="F31" s="227"/>
      <c r="G31" s="352"/>
      <c r="H31" s="192"/>
      <c r="I31" s="231">
        <f>IF(ISBLANK(M31),"",IF(ISBLANK(E31),"",M31-E31))</f>
        <v>0</v>
      </c>
      <c r="J31" s="231"/>
      <c r="K31" s="192"/>
      <c r="L31" s="192"/>
      <c r="M31" s="346">
        <f t="shared" si="0"/>
        <v>533522</v>
      </c>
      <c r="N31" s="227"/>
      <c r="O31" s="352"/>
      <c r="P31" s="192"/>
      <c r="Q31" s="231">
        <f>IF(ISBLANK(U31),"",IF(ISBLANK(M31),"",U31-M31))</f>
        <v>0</v>
      </c>
      <c r="R31" s="192"/>
      <c r="S31" s="192"/>
      <c r="T31" s="192"/>
      <c r="U31" s="346">
        <f>M31</f>
        <v>533522</v>
      </c>
      <c r="V31" s="28"/>
      <c r="W31" s="353"/>
    </row>
    <row r="32" spans="2:29" x14ac:dyDescent="0.2">
      <c r="B32" s="295"/>
      <c r="D32" s="25"/>
      <c r="E32" s="338"/>
      <c r="F32" s="227"/>
      <c r="G32" s="261"/>
      <c r="H32" s="193"/>
      <c r="I32" s="231"/>
      <c r="J32" s="231"/>
      <c r="K32" s="193"/>
      <c r="L32" s="193"/>
      <c r="M32" s="338"/>
      <c r="N32" s="227"/>
      <c r="O32" s="261"/>
      <c r="P32" s="193"/>
      <c r="Q32" s="231"/>
      <c r="R32" s="193"/>
      <c r="S32" s="193"/>
      <c r="T32" s="193"/>
      <c r="U32" s="338"/>
      <c r="V32" s="28"/>
      <c r="W32" s="339"/>
    </row>
    <row r="33" spans="2:27" ht="14.25" x14ac:dyDescent="0.2">
      <c r="B33" s="295"/>
      <c r="D33" s="5" t="s">
        <v>57</v>
      </c>
      <c r="E33" s="346">
        <f>SUM(E28:E31)</f>
        <v>2201364</v>
      </c>
      <c r="F33" s="227"/>
      <c r="G33" s="478" t="s">
        <v>215</v>
      </c>
      <c r="H33" s="192"/>
      <c r="I33" s="231">
        <f>IF(ISBLANK(M33),"",IF(ISBLANK(E33),"",M33-E33))</f>
        <v>0</v>
      </c>
      <c r="J33" s="231"/>
      <c r="K33" s="192"/>
      <c r="L33" s="192"/>
      <c r="M33" s="346">
        <f>E33</f>
        <v>2201364</v>
      </c>
      <c r="N33" s="227"/>
      <c r="O33" s="352"/>
      <c r="P33" s="192"/>
      <c r="Q33" s="231">
        <f>IF(ISBLANK(U33),"",IF(ISBLANK(M33),"",U33-M33))</f>
        <v>0</v>
      </c>
      <c r="R33" s="192"/>
      <c r="S33" s="192"/>
      <c r="T33" s="192"/>
      <c r="U33" s="346">
        <f>M33</f>
        <v>2201364</v>
      </c>
      <c r="V33" s="28"/>
      <c r="W33" s="353"/>
    </row>
    <row r="34" spans="2:27" ht="10.5" customHeight="1" x14ac:dyDescent="0.2">
      <c r="B34" s="295"/>
      <c r="E34" s="231"/>
      <c r="F34" s="231"/>
      <c r="G34" s="193"/>
      <c r="H34" s="193"/>
      <c r="I34" s="231"/>
      <c r="J34" s="231"/>
      <c r="K34" s="193"/>
      <c r="L34" s="193"/>
      <c r="M34" s="193"/>
      <c r="N34" s="193"/>
      <c r="O34" s="193"/>
      <c r="P34" s="193"/>
      <c r="Q34" s="193"/>
      <c r="R34" s="193"/>
      <c r="S34" s="193"/>
      <c r="T34" s="193"/>
      <c r="U34" s="231"/>
      <c r="V34" s="20"/>
    </row>
    <row r="35" spans="2:27" x14ac:dyDescent="0.2">
      <c r="B35" s="295"/>
      <c r="C35" s="19" t="s">
        <v>25</v>
      </c>
      <c r="D35" s="19"/>
      <c r="E35" s="225"/>
      <c r="F35" s="231"/>
      <c r="G35" s="192"/>
      <c r="H35" s="192"/>
      <c r="I35" s="225"/>
      <c r="J35" s="231"/>
      <c r="K35" s="192"/>
      <c r="L35" s="192"/>
      <c r="M35" s="192"/>
      <c r="N35" s="192"/>
      <c r="O35" s="192"/>
      <c r="P35" s="192"/>
      <c r="Q35" s="192"/>
      <c r="R35" s="192"/>
      <c r="S35" s="192"/>
      <c r="T35" s="192"/>
      <c r="U35" s="225"/>
      <c r="V35" s="20"/>
    </row>
    <row r="36" spans="2:27" x14ac:dyDescent="0.2">
      <c r="B36" s="295"/>
      <c r="C36" s="5" t="s">
        <v>65</v>
      </c>
      <c r="E36" s="346">
        <v>14933344.998750471</v>
      </c>
      <c r="F36" s="227"/>
      <c r="G36" s="352"/>
      <c r="H36" s="192"/>
      <c r="I36" s="346"/>
      <c r="J36" s="227"/>
      <c r="K36" s="352"/>
      <c r="L36" s="192"/>
      <c r="M36" s="230">
        <f>IF(ISBLANK(E36),"",E36+I36)</f>
        <v>14933344.998750471</v>
      </c>
      <c r="N36" s="192"/>
      <c r="O36" s="192"/>
      <c r="P36" s="192"/>
      <c r="Q36" s="346"/>
      <c r="R36" s="227"/>
      <c r="S36" s="352"/>
      <c r="T36" s="192"/>
      <c r="U36" s="229">
        <f>IF(ISBLANK(E36),"",E36+I36+Q36)</f>
        <v>14933344.998750471</v>
      </c>
      <c r="V36" s="18"/>
    </row>
    <row r="37" spans="2:27" x14ac:dyDescent="0.2">
      <c r="B37" s="295"/>
      <c r="C37" s="5" t="s">
        <v>143</v>
      </c>
      <c r="E37" s="346">
        <v>4916956.9560465533</v>
      </c>
      <c r="F37" s="227"/>
      <c r="G37" s="352"/>
      <c r="H37" s="192"/>
      <c r="I37" s="346"/>
      <c r="J37" s="227"/>
      <c r="K37" s="352"/>
      <c r="L37" s="192"/>
      <c r="M37" s="230">
        <f>IF(ISBLANK(E37),"",E37+I37)</f>
        <v>4916956.9560465533</v>
      </c>
      <c r="N37" s="192"/>
      <c r="O37" s="192"/>
      <c r="P37" s="192"/>
      <c r="Q37" s="346"/>
      <c r="R37" s="227"/>
      <c r="S37" s="352"/>
      <c r="T37" s="192"/>
      <c r="U37" s="229">
        <f>IF(ISBLANK(E37),"",E37+I37+Q37)</f>
        <v>4916956.9560465533</v>
      </c>
      <c r="V37" s="18"/>
    </row>
    <row r="38" spans="2:27" x14ac:dyDescent="0.2">
      <c r="B38" s="295"/>
      <c r="C38" s="5" t="s">
        <v>66</v>
      </c>
      <c r="E38" s="346">
        <v>200192.5</v>
      </c>
      <c r="F38" s="227"/>
      <c r="G38" s="352"/>
      <c r="H38" s="192"/>
      <c r="I38" s="346"/>
      <c r="J38" s="227"/>
      <c r="K38" s="352"/>
      <c r="L38" s="192"/>
      <c r="M38" s="230">
        <f>IF(ISBLANK(E38),"",E38+I38)</f>
        <v>200192.5</v>
      </c>
      <c r="N38" s="192"/>
      <c r="O38" s="192"/>
      <c r="P38" s="192"/>
      <c r="Q38" s="346"/>
      <c r="R38" s="227"/>
      <c r="S38" s="352"/>
      <c r="T38" s="192"/>
      <c r="U38" s="229">
        <f>IF(ISBLANK(E38),"",E38+I38+Q38)</f>
        <v>200192.5</v>
      </c>
      <c r="V38" s="18"/>
    </row>
    <row r="39" spans="2:27" s="169" customFormat="1" ht="0.75" customHeight="1" x14ac:dyDescent="0.2">
      <c r="B39" s="321"/>
      <c r="C39" s="169" t="s">
        <v>67</v>
      </c>
      <c r="E39" s="322"/>
      <c r="F39" s="322"/>
      <c r="G39" s="323"/>
      <c r="H39" s="323"/>
      <c r="I39" s="324"/>
      <c r="J39" s="324"/>
      <c r="K39" s="325"/>
      <c r="L39" s="325"/>
      <c r="M39" s="322" t="str">
        <f>IF(ISBLANK(M48),"",M48)</f>
        <v/>
      </c>
      <c r="N39" s="325"/>
      <c r="O39" s="325"/>
      <c r="P39" s="325"/>
      <c r="Q39" s="324"/>
      <c r="R39" s="324"/>
      <c r="S39" s="325"/>
      <c r="T39" s="325"/>
      <c r="U39" s="322" t="str">
        <f>IF(ISBLANK(U48),"",U48)</f>
        <v/>
      </c>
      <c r="V39" s="326"/>
    </row>
    <row r="40" spans="2:27" x14ac:dyDescent="0.2">
      <c r="B40" s="295"/>
      <c r="C40" s="5" t="s">
        <v>93</v>
      </c>
      <c r="E40" s="346"/>
      <c r="F40" s="227"/>
      <c r="G40" s="352"/>
      <c r="H40" s="192"/>
      <c r="I40" s="346"/>
      <c r="J40" s="227"/>
      <c r="K40" s="352"/>
      <c r="L40" s="192"/>
      <c r="M40" s="193" t="str">
        <f>IF(ISBLANK(E40),"",E40+I40)</f>
        <v/>
      </c>
      <c r="N40" s="192"/>
      <c r="O40" s="192"/>
      <c r="P40" s="192"/>
      <c r="Q40" s="346"/>
      <c r="R40" s="227"/>
      <c r="S40" s="352"/>
      <c r="T40" s="192"/>
      <c r="U40" s="229" t="str">
        <f>IF(ISBLANK(E40),"",E40+I40+Q40)</f>
        <v/>
      </c>
      <c r="V40" s="18"/>
    </row>
    <row r="41" spans="2:27" ht="9.75" customHeight="1" x14ac:dyDescent="0.2">
      <c r="B41" s="295"/>
      <c r="E41" s="225"/>
      <c r="F41" s="231"/>
      <c r="G41" s="192"/>
      <c r="H41" s="192"/>
      <c r="I41" s="225"/>
      <c r="J41" s="231"/>
      <c r="K41" s="192"/>
      <c r="L41" s="192"/>
      <c r="M41" s="192"/>
      <c r="N41" s="192"/>
      <c r="O41" s="192"/>
      <c r="P41" s="192"/>
      <c r="Q41" s="192"/>
      <c r="R41" s="192"/>
      <c r="S41" s="192"/>
      <c r="T41" s="192"/>
      <c r="U41" s="225"/>
      <c r="V41" s="20"/>
    </row>
    <row r="42" spans="2:27" x14ac:dyDescent="0.2">
      <c r="B42" s="294">
        <v>3</v>
      </c>
      <c r="C42" s="26" t="s">
        <v>6</v>
      </c>
      <c r="D42" s="26"/>
      <c r="E42" s="225"/>
      <c r="F42" s="231"/>
      <c r="G42" s="192"/>
      <c r="H42" s="192"/>
      <c r="I42" s="225"/>
      <c r="J42" s="231"/>
      <c r="K42" s="192"/>
      <c r="L42" s="192"/>
      <c r="M42" s="192"/>
      <c r="N42" s="192"/>
      <c r="O42" s="192"/>
      <c r="P42" s="192"/>
      <c r="Q42" s="192"/>
      <c r="R42" s="192"/>
      <c r="S42" s="192"/>
      <c r="T42" s="192"/>
      <c r="U42" s="225"/>
      <c r="V42" s="20"/>
    </row>
    <row r="43" spans="2:27" x14ac:dyDescent="0.2">
      <c r="B43" s="295"/>
      <c r="C43" s="5" t="s">
        <v>72</v>
      </c>
      <c r="E43" s="225"/>
      <c r="F43" s="231"/>
      <c r="G43" s="192"/>
      <c r="H43" s="192"/>
      <c r="I43" s="225"/>
      <c r="J43" s="231"/>
      <c r="K43" s="192"/>
      <c r="L43" s="192"/>
      <c r="M43" s="192"/>
      <c r="N43" s="192"/>
      <c r="O43" s="192"/>
      <c r="P43" s="192"/>
      <c r="Q43" s="192"/>
      <c r="R43" s="192"/>
      <c r="S43" s="192"/>
      <c r="T43" s="192"/>
      <c r="U43" s="225"/>
      <c r="V43" s="20"/>
    </row>
    <row r="44" spans="2:27" ht="26.25" customHeight="1" x14ac:dyDescent="0.2">
      <c r="B44" s="295"/>
      <c r="C44" s="27"/>
      <c r="D44" s="27" t="s">
        <v>146</v>
      </c>
      <c r="E44" s="346">
        <v>-2021577.474419333</v>
      </c>
      <c r="F44" s="227"/>
      <c r="G44" s="478" t="s">
        <v>98</v>
      </c>
      <c r="H44" s="11"/>
      <c r="I44" s="231">
        <f>IF(ISBLANK(M44),"",IF(ISBLANK(E44),"",M44-E44))</f>
        <v>0</v>
      </c>
      <c r="J44" s="229"/>
      <c r="K44" s="192"/>
      <c r="L44" s="192"/>
      <c r="M44" s="346">
        <f>E44</f>
        <v>-2021577.474419333</v>
      </c>
      <c r="N44" s="227"/>
      <c r="O44" s="351"/>
      <c r="P44" s="192"/>
      <c r="Q44" s="231">
        <f>IF(ISBLANK(U44),"",IF(ISBLANK(M44),"",U44-M44))</f>
        <v>0</v>
      </c>
      <c r="R44" s="192"/>
      <c r="S44" s="192"/>
      <c r="T44" s="192"/>
      <c r="U44" s="346">
        <f>E44</f>
        <v>-2021577.474419333</v>
      </c>
      <c r="V44" s="28"/>
      <c r="W44" s="353"/>
      <c r="Z44" s="741"/>
      <c r="AA44" s="52"/>
    </row>
    <row r="45" spans="2:27" x14ac:dyDescent="0.2">
      <c r="B45" s="295"/>
      <c r="C45" s="19" t="s">
        <v>73</v>
      </c>
      <c r="D45" s="19"/>
      <c r="E45" s="225"/>
      <c r="F45" s="231"/>
      <c r="G45" s="192"/>
      <c r="H45" s="192"/>
      <c r="I45" s="225"/>
      <c r="J45" s="231"/>
      <c r="K45" s="192"/>
      <c r="L45" s="192"/>
      <c r="M45" s="225"/>
      <c r="N45" s="231"/>
      <c r="O45" s="192"/>
      <c r="P45" s="192"/>
      <c r="Q45" s="192"/>
      <c r="R45" s="192"/>
      <c r="S45" s="192"/>
      <c r="T45" s="192"/>
      <c r="U45" s="225"/>
      <c r="V45" s="20"/>
    </row>
    <row r="46" spans="2:27" x14ac:dyDescent="0.2">
      <c r="B46" s="295"/>
      <c r="C46" s="5" t="s">
        <v>125</v>
      </c>
      <c r="E46" s="346">
        <v>502824.80621435074</v>
      </c>
      <c r="F46" s="227"/>
      <c r="G46" s="352"/>
      <c r="H46" s="192"/>
      <c r="I46" s="231">
        <f>IF(ISBLANK(M46),"",IF(ISBLANK(E46),"",M46-E46))</f>
        <v>0</v>
      </c>
      <c r="J46" s="231"/>
      <c r="K46" s="192"/>
      <c r="L46" s="192"/>
      <c r="M46" s="346">
        <f>E46</f>
        <v>502824.80621435074</v>
      </c>
      <c r="N46" s="227"/>
      <c r="O46" s="352"/>
      <c r="P46" s="192"/>
      <c r="Q46" s="231">
        <f>IF(ISBLANK(U46),"",IF(ISBLANK(M46),"",U46-M46))</f>
        <v>0</v>
      </c>
      <c r="R46" s="192"/>
      <c r="S46" s="192"/>
      <c r="T46" s="192"/>
      <c r="U46" s="346">
        <f>M46</f>
        <v>502824.80621435074</v>
      </c>
      <c r="V46" s="28"/>
      <c r="W46" s="353"/>
    </row>
    <row r="47" spans="2:27" x14ac:dyDescent="0.2">
      <c r="B47" s="295"/>
      <c r="C47" s="19" t="s">
        <v>126</v>
      </c>
      <c r="D47" s="19"/>
      <c r="E47" s="227">
        <f>IF(ISBLANK(E46),"",E46/(1-SUM(E49:E50)))</f>
        <v>684115.38260455884</v>
      </c>
      <c r="F47" s="227"/>
      <c r="G47" s="235"/>
      <c r="H47" s="235"/>
      <c r="I47" s="236"/>
      <c r="J47" s="236"/>
      <c r="K47" s="235"/>
      <c r="L47" s="235"/>
      <c r="M47" s="227">
        <f>IF(ISBLANK(M46),"",M46/(1-SUM(M49:M50)))</f>
        <v>684115.38260455884</v>
      </c>
      <c r="N47" s="227"/>
      <c r="O47" s="235"/>
      <c r="P47" s="235"/>
      <c r="Q47" s="235"/>
      <c r="R47" s="235"/>
      <c r="S47" s="235"/>
      <c r="T47" s="235"/>
      <c r="U47" s="227">
        <f>IF(ISBLANK(U46),"",U46/(1-SUM(U49:U50)))</f>
        <v>684115.38260455884</v>
      </c>
      <c r="V47" s="28"/>
    </row>
    <row r="48" spans="2:27" ht="0.75" customHeight="1" x14ac:dyDescent="0.2">
      <c r="B48" s="295"/>
      <c r="C48" s="169" t="s">
        <v>87</v>
      </c>
      <c r="D48" s="171"/>
      <c r="E48" s="227"/>
      <c r="F48" s="227"/>
      <c r="G48" s="237"/>
      <c r="H48" s="192"/>
      <c r="I48" s="225"/>
      <c r="J48" s="231"/>
      <c r="K48" s="192"/>
      <c r="L48" s="192"/>
      <c r="M48" s="227"/>
      <c r="N48" s="227"/>
      <c r="O48" s="237"/>
      <c r="P48" s="192"/>
      <c r="Q48" s="192"/>
      <c r="R48" s="192"/>
      <c r="S48" s="192"/>
      <c r="T48" s="192"/>
      <c r="U48" s="233"/>
      <c r="V48" s="28"/>
      <c r="W48" s="176"/>
    </row>
    <row r="49" spans="2:23" x14ac:dyDescent="0.2">
      <c r="B49" s="295"/>
      <c r="C49" s="5" t="s">
        <v>83</v>
      </c>
      <c r="E49" s="347">
        <v>0.15</v>
      </c>
      <c r="F49" s="233"/>
      <c r="G49" s="352"/>
      <c r="H49" s="192"/>
      <c r="I49" s="727">
        <f>IF(ISBLANK(M49),"",IF(ISBLANK(E49),"",M49-E49))</f>
        <v>0</v>
      </c>
      <c r="J49" s="193"/>
      <c r="K49" s="192"/>
      <c r="L49" s="192"/>
      <c r="M49" s="347">
        <f>E49</f>
        <v>0.15</v>
      </c>
      <c r="N49" s="233"/>
      <c r="O49" s="352"/>
      <c r="P49" s="192"/>
      <c r="Q49" s="728">
        <f>IF(ISBLANK(U49),"",IF(ISBLANK(M49),"",U49-M49))</f>
        <v>0</v>
      </c>
      <c r="R49" s="192"/>
      <c r="S49" s="192"/>
      <c r="T49" s="192"/>
      <c r="U49" s="347">
        <f>E49</f>
        <v>0.15</v>
      </c>
      <c r="V49" s="174"/>
      <c r="W49" s="353"/>
    </row>
    <row r="50" spans="2:23" x14ac:dyDescent="0.2">
      <c r="B50" s="295"/>
      <c r="C50" s="5" t="s">
        <v>84</v>
      </c>
      <c r="E50" s="347">
        <v>0.115</v>
      </c>
      <c r="F50" s="233"/>
      <c r="G50" s="352"/>
      <c r="H50" s="192"/>
      <c r="I50" s="727">
        <f>IF(ISBLANK(M50),"",IF(ISBLANK(E50),"",M50-E50))</f>
        <v>0</v>
      </c>
      <c r="J50" s="193"/>
      <c r="K50" s="192"/>
      <c r="L50" s="192"/>
      <c r="M50" s="347">
        <f>E50</f>
        <v>0.115</v>
      </c>
      <c r="N50" s="233"/>
      <c r="O50" s="352"/>
      <c r="P50" s="192"/>
      <c r="Q50" s="727">
        <f>IF(ISBLANK(U50),"",IF(ISBLANK(M50),"",U50-M50))</f>
        <v>0</v>
      </c>
      <c r="R50" s="192"/>
      <c r="S50" s="192"/>
      <c r="T50" s="192"/>
      <c r="U50" s="347">
        <f>E50</f>
        <v>0.115</v>
      </c>
      <c r="V50" s="174"/>
      <c r="W50" s="353"/>
    </row>
    <row r="51" spans="2:23" x14ac:dyDescent="0.2">
      <c r="B51" s="295"/>
      <c r="C51" s="30" t="s">
        <v>116</v>
      </c>
      <c r="D51" s="30"/>
      <c r="E51" s="346">
        <v>-4085.482</v>
      </c>
      <c r="F51" s="227"/>
      <c r="G51" s="352"/>
      <c r="H51" s="192"/>
      <c r="I51" s="231">
        <f>IF(ISBLANK(M51),"",IF(ISBLANK(E51),"",M51-E51))</f>
        <v>0</v>
      </c>
      <c r="J51" s="193"/>
      <c r="K51" s="192"/>
      <c r="L51" s="192"/>
      <c r="M51" s="346">
        <f>E51</f>
        <v>-4085.482</v>
      </c>
      <c r="N51" s="227"/>
      <c r="O51" s="352"/>
      <c r="P51" s="192"/>
      <c r="Q51" s="231">
        <f>IF(ISBLANK(U51),"",IF(ISBLANK(M51),"",U51-M51))</f>
        <v>0</v>
      </c>
      <c r="R51" s="192"/>
      <c r="S51" s="192"/>
      <c r="T51" s="192"/>
      <c r="U51" s="346">
        <f>M51</f>
        <v>-4085.482</v>
      </c>
      <c r="V51" s="28"/>
      <c r="W51" s="353"/>
    </row>
    <row r="52" spans="2:23" ht="10.5" customHeight="1" x14ac:dyDescent="0.2">
      <c r="B52" s="295"/>
      <c r="C52" s="5" t="s">
        <v>60</v>
      </c>
      <c r="E52" s="192"/>
      <c r="F52" s="193"/>
      <c r="G52" s="192"/>
      <c r="H52" s="192"/>
      <c r="I52" s="192"/>
      <c r="J52" s="193"/>
      <c r="K52" s="192"/>
      <c r="L52" s="192"/>
      <c r="M52" s="192"/>
      <c r="N52" s="193"/>
      <c r="O52" s="192"/>
      <c r="P52" s="192"/>
      <c r="Q52" s="192"/>
      <c r="R52" s="192"/>
      <c r="S52" s="192"/>
      <c r="T52" s="192"/>
      <c r="U52" s="192"/>
      <c r="V52" s="25"/>
    </row>
    <row r="53" spans="2:23" x14ac:dyDescent="0.2">
      <c r="B53" s="294">
        <v>4</v>
      </c>
      <c r="C53" s="26" t="s">
        <v>50</v>
      </c>
      <c r="D53" s="26"/>
      <c r="E53" s="192"/>
      <c r="F53" s="193"/>
      <c r="G53" s="192"/>
      <c r="H53" s="192"/>
      <c r="I53" s="192"/>
      <c r="J53" s="193"/>
      <c r="K53" s="192"/>
      <c r="L53" s="192"/>
      <c r="M53" s="192"/>
      <c r="N53" s="193"/>
      <c r="O53" s="192"/>
      <c r="P53" s="192"/>
      <c r="Q53" s="192"/>
      <c r="R53" s="192"/>
      <c r="S53" s="192"/>
      <c r="T53" s="192"/>
      <c r="U53" s="192"/>
      <c r="V53" s="25"/>
    </row>
    <row r="54" spans="2:23" x14ac:dyDescent="0.2">
      <c r="C54" s="19" t="s">
        <v>88</v>
      </c>
      <c r="D54" s="19"/>
      <c r="E54" s="192"/>
      <c r="F54" s="193"/>
      <c r="G54" s="192"/>
      <c r="H54" s="192"/>
      <c r="I54" s="192"/>
      <c r="J54" s="193"/>
      <c r="K54" s="192"/>
      <c r="L54" s="192"/>
      <c r="M54" s="192"/>
      <c r="N54" s="193"/>
      <c r="O54" s="192"/>
      <c r="P54" s="192"/>
      <c r="Q54" s="192"/>
      <c r="R54" s="192"/>
      <c r="S54" s="192"/>
      <c r="T54" s="192"/>
      <c r="U54" s="192"/>
      <c r="V54" s="25"/>
    </row>
    <row r="55" spans="2:23" x14ac:dyDescent="0.2">
      <c r="C55" s="5" t="s">
        <v>74</v>
      </c>
      <c r="E55" s="347">
        <v>0.56000000000000005</v>
      </c>
      <c r="F55" s="238"/>
      <c r="G55" s="352"/>
      <c r="H55" s="192"/>
      <c r="I55" s="728">
        <f>IF(ISBLANK(M55),"",IF(ISBLANK(E55),"",M55-E55))</f>
        <v>0</v>
      </c>
      <c r="J55" s="193"/>
      <c r="K55" s="192"/>
      <c r="L55" s="192"/>
      <c r="M55" s="348">
        <f>E55</f>
        <v>0.56000000000000005</v>
      </c>
      <c r="N55" s="238"/>
      <c r="O55" s="352"/>
      <c r="P55" s="192"/>
      <c r="Q55" s="728">
        <f>IF(ISBLANK(U55),"",IF(ISBLANK(M55),"",U55-M55))</f>
        <v>0</v>
      </c>
      <c r="R55" s="192"/>
      <c r="S55" s="192"/>
      <c r="T55" s="192"/>
      <c r="U55" s="348">
        <f>E55</f>
        <v>0.56000000000000005</v>
      </c>
      <c r="V55" s="177"/>
      <c r="W55" s="353"/>
    </row>
    <row r="56" spans="2:23" ht="14.25" x14ac:dyDescent="0.2">
      <c r="C56" s="5" t="s">
        <v>75</v>
      </c>
      <c r="E56" s="347">
        <v>0.04</v>
      </c>
      <c r="F56" s="238"/>
      <c r="G56" s="478" t="s">
        <v>221</v>
      </c>
      <c r="H56" s="11"/>
      <c r="I56" s="728">
        <f>IF(ISBLANK(M56),"",IF(ISBLANK(E56),"",M56-E56))</f>
        <v>0</v>
      </c>
      <c r="J56" s="193"/>
      <c r="K56" s="192"/>
      <c r="L56" s="192"/>
      <c r="M56" s="348">
        <f>E56</f>
        <v>0.04</v>
      </c>
      <c r="N56" s="238"/>
      <c r="O56" s="478" t="s">
        <v>221</v>
      </c>
      <c r="P56" s="192"/>
      <c r="Q56" s="728">
        <f>IF(ISBLANK(U56),"",IF(ISBLANK(M56),"",U56-M56))</f>
        <v>0</v>
      </c>
      <c r="R56" s="192"/>
      <c r="S56" s="192"/>
      <c r="T56" s="192"/>
      <c r="U56" s="348">
        <f t="shared" ref="U56:U57" si="1">E56</f>
        <v>0.04</v>
      </c>
      <c r="V56" s="177"/>
      <c r="W56" s="475" t="s">
        <v>221</v>
      </c>
    </row>
    <row r="57" spans="2:23" x14ac:dyDescent="0.2">
      <c r="C57" s="5" t="s">
        <v>76</v>
      </c>
      <c r="E57" s="347">
        <v>0.4</v>
      </c>
      <c r="F57" s="238"/>
      <c r="G57" s="376"/>
      <c r="H57" s="192"/>
      <c r="I57" s="728">
        <f>IF(ISBLANK(M57),"",IF(ISBLANK(E57),"",M57-E57))</f>
        <v>0</v>
      </c>
      <c r="J57" s="193"/>
      <c r="K57" s="192"/>
      <c r="L57" s="192"/>
      <c r="M57" s="348">
        <f>E57</f>
        <v>0.4</v>
      </c>
      <c r="N57" s="238"/>
      <c r="O57" s="352"/>
      <c r="P57" s="192"/>
      <c r="Q57" s="728">
        <f>IF(ISBLANK(U57),"",IF(ISBLANK(M57),"",U57-M57))</f>
        <v>0</v>
      </c>
      <c r="R57" s="192"/>
      <c r="S57" s="192"/>
      <c r="T57" s="192"/>
      <c r="U57" s="348">
        <f t="shared" si="1"/>
        <v>0.4</v>
      </c>
      <c r="V57" s="177"/>
      <c r="W57" s="353"/>
    </row>
    <row r="58" spans="2:23" ht="13.5" thickBot="1" x14ac:dyDescent="0.25">
      <c r="C58" s="5" t="s">
        <v>77</v>
      </c>
      <c r="E58" s="349"/>
      <c r="F58" s="238"/>
      <c r="G58" s="352"/>
      <c r="H58" s="192"/>
      <c r="I58" s="728" t="str">
        <f>IF(ISBLANK(M58),"",IF(ISBLANK(E58),"",M58-E58))</f>
        <v/>
      </c>
      <c r="J58" s="193"/>
      <c r="K58" s="192"/>
      <c r="L58" s="192"/>
      <c r="M58" s="349"/>
      <c r="N58" s="238"/>
      <c r="O58" s="352"/>
      <c r="P58" s="192"/>
      <c r="Q58" s="728" t="str">
        <f>IF(ISBLANK(U58),"",IF(ISBLANK(M58),"",U58-M58))</f>
        <v/>
      </c>
      <c r="R58" s="192"/>
      <c r="S58" s="192"/>
      <c r="T58" s="192"/>
      <c r="U58" s="349"/>
      <c r="V58" s="177"/>
      <c r="W58" s="353"/>
    </row>
    <row r="59" spans="2:23" ht="13.5" thickTop="1" x14ac:dyDescent="0.2">
      <c r="E59" s="239">
        <f>SUM(E55:E58)</f>
        <v>1</v>
      </c>
      <c r="F59" s="238"/>
      <c r="G59" s="234"/>
      <c r="H59" s="193"/>
      <c r="I59" s="193"/>
      <c r="J59" s="193"/>
      <c r="K59" s="193"/>
      <c r="L59" s="193"/>
      <c r="M59" s="239">
        <f>SUM(M55:M58)</f>
        <v>1</v>
      </c>
      <c r="N59" s="238"/>
      <c r="O59" s="234"/>
      <c r="P59" s="193"/>
      <c r="Q59" s="193"/>
      <c r="R59" s="193"/>
      <c r="S59" s="193"/>
      <c r="T59" s="193"/>
      <c r="U59" s="239">
        <f>SUM(U55:U58)</f>
        <v>1</v>
      </c>
      <c r="V59" s="177"/>
      <c r="W59" s="175"/>
    </row>
    <row r="60" spans="2:23" ht="25.5" customHeight="1" x14ac:dyDescent="0.2">
      <c r="E60" s="240" t="str">
        <f>IF(ISBLANK(E57),"",IF(SUM(E55:E58)=100%,"","Capital Structure must total 100%"))</f>
        <v/>
      </c>
      <c r="F60" s="240"/>
      <c r="G60" s="241"/>
      <c r="H60" s="241"/>
      <c r="I60" s="241"/>
      <c r="J60" s="241"/>
      <c r="K60" s="241"/>
      <c r="L60" s="241"/>
      <c r="M60" s="240" t="str">
        <f>IF(ISBLANK(M57),"",IF(SUM(M55:M58)=100%,"","Capital Structure must total 100%"))</f>
        <v/>
      </c>
      <c r="N60" s="241"/>
      <c r="O60" s="241"/>
      <c r="P60" s="241"/>
      <c r="Q60" s="241"/>
      <c r="R60" s="241"/>
      <c r="S60" s="241"/>
      <c r="T60" s="241"/>
      <c r="U60" s="240" t="str">
        <f>IF(ISBLANK(U57),"",IF(SUM(U55:U58)=100%,"","Capital Structure must total 100%"))</f>
        <v/>
      </c>
      <c r="V60" s="31"/>
    </row>
    <row r="61" spans="2:23" x14ac:dyDescent="0.2">
      <c r="C61" s="19" t="s">
        <v>89</v>
      </c>
      <c r="D61" s="19"/>
      <c r="E61" s="192"/>
      <c r="F61" s="193"/>
      <c r="G61" s="192"/>
      <c r="H61" s="192"/>
      <c r="I61" s="192"/>
      <c r="J61" s="193"/>
      <c r="K61" s="192"/>
      <c r="L61" s="192"/>
      <c r="M61" s="192"/>
      <c r="N61" s="192"/>
      <c r="O61" s="192"/>
      <c r="P61" s="192"/>
      <c r="Q61" s="192"/>
      <c r="R61" s="192"/>
      <c r="S61" s="192"/>
      <c r="T61" s="192"/>
      <c r="U61" s="192"/>
      <c r="V61" s="25"/>
    </row>
    <row r="62" spans="2:23" x14ac:dyDescent="0.2">
      <c r="C62" s="5" t="s">
        <v>78</v>
      </c>
      <c r="E62" s="347">
        <v>3.5382192064317093E-2</v>
      </c>
      <c r="F62" s="242"/>
      <c r="G62" s="352"/>
      <c r="H62" s="192"/>
      <c r="I62" s="728">
        <f>IF(ISBLANK(M62),"",IF(ISBLANK(E62),"",M62-E62))</f>
        <v>0</v>
      </c>
      <c r="J62" s="193"/>
      <c r="K62" s="192"/>
      <c r="L62" s="192"/>
      <c r="M62" s="350">
        <f>E62</f>
        <v>3.5382192064317093E-2</v>
      </c>
      <c r="N62" s="242"/>
      <c r="O62" s="352"/>
      <c r="P62" s="192"/>
      <c r="Q62" s="728">
        <f>IF(ISBLANK(U62),"",IF(ISBLANK(M62),"",U62-M62))</f>
        <v>0</v>
      </c>
      <c r="R62" s="192"/>
      <c r="S62" s="192"/>
      <c r="T62" s="192"/>
      <c r="U62" s="350">
        <f>E62</f>
        <v>3.5382192064317093E-2</v>
      </c>
      <c r="V62" s="178"/>
      <c r="W62" s="353"/>
    </row>
    <row r="63" spans="2:23" x14ac:dyDescent="0.2">
      <c r="C63" s="5" t="s">
        <v>79</v>
      </c>
      <c r="E63" s="347">
        <v>1.17E-2</v>
      </c>
      <c r="F63" s="242"/>
      <c r="G63" s="352"/>
      <c r="H63" s="192"/>
      <c r="I63" s="728">
        <f>IF(ISBLANK(M63),"",IF(ISBLANK(E63),"",M63-E63))</f>
        <v>0</v>
      </c>
      <c r="J63" s="193"/>
      <c r="K63" s="192"/>
      <c r="L63" s="192"/>
      <c r="M63" s="350">
        <f>E63</f>
        <v>1.17E-2</v>
      </c>
      <c r="N63" s="242"/>
      <c r="O63" s="352"/>
      <c r="P63" s="192"/>
      <c r="Q63" s="728">
        <f>IF(ISBLANK(U63),"",IF(ISBLANK(M63),"",U63-M63))</f>
        <v>0</v>
      </c>
      <c r="R63" s="192"/>
      <c r="S63" s="192"/>
      <c r="T63" s="192"/>
      <c r="U63" s="350">
        <f>E63</f>
        <v>1.17E-2</v>
      </c>
      <c r="V63" s="178"/>
      <c r="W63" s="353"/>
    </row>
    <row r="64" spans="2:23" x14ac:dyDescent="0.2">
      <c r="C64" s="5" t="s">
        <v>80</v>
      </c>
      <c r="E64" s="347">
        <v>8.6599999999999996E-2</v>
      </c>
      <c r="F64" s="242"/>
      <c r="G64" s="352"/>
      <c r="H64" s="192"/>
      <c r="I64" s="728">
        <f>IF(ISBLANK(M64),"",IF(ISBLANK(E64),"",M64-E64))</f>
        <v>0</v>
      </c>
      <c r="J64" s="193"/>
      <c r="K64" s="192"/>
      <c r="L64" s="192"/>
      <c r="M64" s="350">
        <f>E64</f>
        <v>8.6599999999999996E-2</v>
      </c>
      <c r="N64" s="242"/>
      <c r="O64" s="352"/>
      <c r="P64" s="192"/>
      <c r="Q64" s="728">
        <f>IF(ISBLANK(U64),"",IF(ISBLANK(M64),"",U64-M64))</f>
        <v>0</v>
      </c>
      <c r="R64" s="192"/>
      <c r="S64" s="192"/>
      <c r="T64" s="192"/>
      <c r="U64" s="350">
        <f>E64</f>
        <v>8.6599999999999996E-2</v>
      </c>
      <c r="V64" s="178"/>
      <c r="W64" s="353"/>
    </row>
    <row r="65" spans="1:24" x14ac:dyDescent="0.2">
      <c r="C65" s="5" t="s">
        <v>81</v>
      </c>
      <c r="E65" s="350"/>
      <c r="F65" s="242"/>
      <c r="G65" s="352"/>
      <c r="H65" s="192"/>
      <c r="I65" s="728" t="str">
        <f>IF(ISBLANK(M65),"",IF(ISBLANK(E65),"",M65-E65))</f>
        <v/>
      </c>
      <c r="J65" s="193"/>
      <c r="K65" s="192"/>
      <c r="L65" s="192"/>
      <c r="M65" s="350"/>
      <c r="N65" s="242"/>
      <c r="O65" s="352"/>
      <c r="P65" s="192"/>
      <c r="Q65" s="728" t="str">
        <f>IF(ISBLANK(U65),"",IF(ISBLANK(M65),"",U65-M65))</f>
        <v/>
      </c>
      <c r="R65" s="192"/>
      <c r="S65" s="192"/>
      <c r="T65" s="192"/>
      <c r="U65" s="350"/>
      <c r="V65" s="178"/>
      <c r="W65" s="353"/>
    </row>
    <row r="66" spans="1:24" x14ac:dyDescent="0.2">
      <c r="D66" s="25"/>
      <c r="E66" s="345"/>
      <c r="F66" s="242"/>
      <c r="G66" s="261"/>
      <c r="H66" s="193"/>
      <c r="I66" s="193"/>
      <c r="J66" s="193"/>
      <c r="K66" s="193"/>
      <c r="L66" s="193"/>
      <c r="M66" s="345"/>
      <c r="N66" s="242"/>
      <c r="O66" s="261"/>
      <c r="P66" s="193"/>
      <c r="Q66" s="193"/>
      <c r="R66" s="193"/>
      <c r="S66" s="193"/>
      <c r="T66" s="193"/>
      <c r="U66" s="345"/>
      <c r="V66" s="178"/>
      <c r="W66" s="339"/>
      <c r="X66" s="25"/>
    </row>
    <row r="67" spans="1:24" ht="10.5" customHeight="1" x14ac:dyDescent="0.2"/>
    <row r="68" spans="1:24" x14ac:dyDescent="0.2">
      <c r="A68" s="4" t="s">
        <v>42</v>
      </c>
      <c r="B68" s="4"/>
      <c r="C68" s="4"/>
      <c r="D68" s="4"/>
    </row>
    <row r="69" spans="1:24" ht="39" customHeight="1" x14ac:dyDescent="0.2">
      <c r="B69" s="342" t="s">
        <v>220</v>
      </c>
      <c r="C69" s="776" t="s">
        <v>223</v>
      </c>
      <c r="D69" s="776"/>
      <c r="E69" s="776"/>
      <c r="F69" s="776"/>
      <c r="G69" s="776"/>
      <c r="H69" s="776"/>
      <c r="I69" s="776"/>
      <c r="J69" s="776"/>
      <c r="K69" s="777"/>
      <c r="L69" s="777"/>
      <c r="M69" s="777"/>
      <c r="N69" s="777"/>
      <c r="O69" s="777"/>
      <c r="P69" s="777"/>
      <c r="Q69" s="777"/>
      <c r="R69" s="777"/>
      <c r="S69" s="777"/>
      <c r="T69" s="777"/>
      <c r="U69" s="777"/>
      <c r="V69" s="27"/>
    </row>
    <row r="70" spans="1:24" ht="14.25" x14ac:dyDescent="0.2">
      <c r="B70" s="484" t="s">
        <v>2</v>
      </c>
      <c r="C70" s="789" t="s">
        <v>90</v>
      </c>
      <c r="D70" s="789"/>
      <c r="E70" s="789"/>
      <c r="F70" s="789"/>
      <c r="G70" s="789"/>
      <c r="H70" s="789"/>
      <c r="I70" s="789"/>
      <c r="J70" s="789"/>
      <c r="K70" s="789"/>
      <c r="L70" s="789"/>
      <c r="M70" s="789"/>
      <c r="N70" s="789"/>
      <c r="O70" s="789"/>
      <c r="P70" s="789"/>
      <c r="Q70" s="789"/>
      <c r="R70" s="789"/>
      <c r="S70" s="789"/>
      <c r="T70" s="789"/>
      <c r="U70" s="789"/>
      <c r="V70" s="42"/>
    </row>
    <row r="71" spans="1:24" ht="27" customHeight="1" x14ac:dyDescent="0.2">
      <c r="B71" s="484" t="s">
        <v>3</v>
      </c>
      <c r="C71" s="787" t="s">
        <v>412</v>
      </c>
      <c r="D71" s="787"/>
      <c r="E71" s="787"/>
      <c r="F71" s="787"/>
      <c r="G71" s="787"/>
      <c r="H71" s="787"/>
      <c r="I71" s="787"/>
      <c r="J71" s="787"/>
      <c r="K71" s="787"/>
      <c r="L71" s="787"/>
      <c r="M71" s="787"/>
      <c r="N71" s="787"/>
      <c r="O71" s="787"/>
      <c r="P71" s="787"/>
      <c r="Q71" s="787"/>
      <c r="R71" s="787"/>
      <c r="S71" s="787"/>
      <c r="T71" s="787"/>
      <c r="U71" s="787"/>
      <c r="V71" s="15"/>
    </row>
    <row r="72" spans="1:24" ht="14.25" x14ac:dyDescent="0.2">
      <c r="B72" s="484" t="s">
        <v>98</v>
      </c>
      <c r="C72" s="788" t="s">
        <v>99</v>
      </c>
      <c r="D72" s="788"/>
      <c r="E72" s="788"/>
      <c r="F72" s="788"/>
      <c r="G72" s="788"/>
      <c r="H72" s="788"/>
      <c r="I72" s="788"/>
      <c r="J72" s="788"/>
      <c r="K72" s="788"/>
      <c r="L72" s="788"/>
      <c r="M72" s="788"/>
      <c r="N72" s="788"/>
      <c r="O72" s="788"/>
      <c r="P72" s="788"/>
      <c r="Q72" s="788"/>
      <c r="R72" s="788"/>
      <c r="S72" s="788"/>
      <c r="T72" s="788"/>
      <c r="U72" s="788"/>
      <c r="V72" s="15"/>
    </row>
    <row r="73" spans="1:24" ht="14.25" x14ac:dyDescent="0.2">
      <c r="B73" s="484" t="s">
        <v>122</v>
      </c>
      <c r="C73" s="792" t="s">
        <v>124</v>
      </c>
      <c r="D73" s="792"/>
      <c r="E73" s="792"/>
      <c r="F73" s="792"/>
      <c r="G73" s="792"/>
      <c r="H73" s="792"/>
      <c r="I73" s="792"/>
      <c r="J73" s="792"/>
      <c r="K73" s="792"/>
      <c r="L73" s="792"/>
      <c r="M73" s="792"/>
      <c r="N73" s="792"/>
      <c r="O73" s="792"/>
      <c r="P73" s="792"/>
      <c r="Q73" s="792"/>
      <c r="R73" s="792"/>
      <c r="S73" s="792"/>
      <c r="T73" s="792"/>
      <c r="U73" s="792"/>
      <c r="V73" s="27"/>
    </row>
    <row r="74" spans="1:24" ht="14.25" x14ac:dyDescent="0.2">
      <c r="B74" s="484" t="s">
        <v>123</v>
      </c>
      <c r="C74" s="788" t="s">
        <v>135</v>
      </c>
      <c r="D74" s="788"/>
      <c r="E74" s="788"/>
      <c r="F74" s="788"/>
      <c r="G74" s="788"/>
      <c r="H74" s="788"/>
      <c r="I74" s="788"/>
      <c r="J74" s="788"/>
      <c r="K74" s="788"/>
      <c r="L74" s="788"/>
      <c r="M74" s="788"/>
      <c r="N74" s="788"/>
      <c r="O74" s="788"/>
      <c r="P74" s="788"/>
      <c r="Q74" s="788"/>
      <c r="R74" s="788"/>
      <c r="S74" s="788"/>
      <c r="T74" s="788"/>
      <c r="U74" s="788"/>
      <c r="V74" s="15"/>
    </row>
    <row r="75" spans="1:24" ht="26.25" customHeight="1" x14ac:dyDescent="0.2">
      <c r="B75" s="479" t="s">
        <v>147</v>
      </c>
      <c r="C75" s="790" t="s">
        <v>448</v>
      </c>
      <c r="D75" s="791"/>
      <c r="E75" s="791"/>
      <c r="F75" s="791"/>
      <c r="G75" s="791"/>
      <c r="H75" s="791"/>
      <c r="I75" s="791"/>
      <c r="J75" s="791"/>
      <c r="K75" s="791"/>
      <c r="L75" s="791"/>
      <c r="M75" s="791"/>
      <c r="N75" s="791"/>
      <c r="O75" s="791"/>
      <c r="P75" s="791"/>
      <c r="Q75" s="791"/>
      <c r="R75" s="791"/>
      <c r="S75" s="791"/>
      <c r="T75" s="791"/>
      <c r="U75" s="791"/>
      <c r="V75" s="179"/>
    </row>
    <row r="76" spans="1:24" ht="14.25" x14ac:dyDescent="0.2">
      <c r="B76" s="479" t="s">
        <v>215</v>
      </c>
      <c r="C76" s="776" t="s">
        <v>216</v>
      </c>
      <c r="D76" s="776"/>
      <c r="E76" s="776"/>
      <c r="F76" s="776"/>
      <c r="G76" s="776"/>
      <c r="H76" s="776"/>
      <c r="I76" s="776"/>
      <c r="J76" s="776"/>
      <c r="K76" s="776"/>
      <c r="L76" s="776"/>
      <c r="M76" s="776"/>
      <c r="N76" s="776"/>
      <c r="O76" s="776"/>
      <c r="P76" s="776"/>
      <c r="Q76" s="776"/>
      <c r="R76" s="776"/>
      <c r="S76" s="776"/>
      <c r="T76" s="776"/>
      <c r="U76" s="776"/>
      <c r="V76" s="179"/>
    </row>
    <row r="77" spans="1:24" ht="14.25" x14ac:dyDescent="0.2">
      <c r="B77" s="479" t="s">
        <v>221</v>
      </c>
      <c r="C77" s="788" t="s">
        <v>92</v>
      </c>
      <c r="D77" s="788"/>
      <c r="E77" s="788"/>
      <c r="F77" s="788"/>
      <c r="G77" s="788"/>
      <c r="H77" s="788"/>
      <c r="I77" s="788"/>
      <c r="J77" s="788"/>
      <c r="K77" s="788"/>
      <c r="L77" s="788"/>
      <c r="M77" s="788"/>
      <c r="N77" s="788"/>
      <c r="O77" s="788"/>
      <c r="P77" s="788"/>
      <c r="Q77" s="788"/>
      <c r="R77" s="788"/>
      <c r="S77" s="788"/>
      <c r="T77" s="788"/>
      <c r="U77" s="788"/>
      <c r="V77" s="179"/>
    </row>
    <row r="78" spans="1:24" ht="14.25" x14ac:dyDescent="0.2">
      <c r="B78" s="479" t="s">
        <v>222</v>
      </c>
      <c r="C78" s="771" t="s">
        <v>413</v>
      </c>
      <c r="D78" s="772"/>
      <c r="E78" s="772"/>
      <c r="F78" s="772"/>
      <c r="G78" s="772"/>
      <c r="H78" s="772"/>
      <c r="I78" s="772"/>
      <c r="J78" s="772"/>
      <c r="K78" s="772"/>
      <c r="L78" s="772"/>
      <c r="M78" s="772"/>
      <c r="N78" s="772"/>
      <c r="O78" s="772"/>
      <c r="P78" s="772"/>
      <c r="Q78" s="772"/>
      <c r="R78" s="772"/>
      <c r="S78" s="772"/>
      <c r="T78" s="772"/>
      <c r="U78" s="772"/>
      <c r="V78" s="179"/>
    </row>
    <row r="79" spans="1:24" x14ac:dyDescent="0.2">
      <c r="B79" s="702"/>
      <c r="C79" s="772"/>
      <c r="D79" s="772"/>
      <c r="E79" s="772"/>
      <c r="F79" s="772"/>
      <c r="G79" s="772"/>
      <c r="H79" s="772"/>
      <c r="I79" s="772"/>
      <c r="J79" s="772"/>
      <c r="K79" s="772"/>
      <c r="L79" s="772"/>
      <c r="M79" s="772"/>
      <c r="N79" s="772"/>
      <c r="O79" s="772"/>
      <c r="P79" s="772"/>
      <c r="Q79" s="772"/>
      <c r="R79" s="772"/>
      <c r="S79" s="772"/>
      <c r="T79" s="772"/>
      <c r="U79" s="772"/>
      <c r="V79" s="179"/>
    </row>
    <row r="80" spans="1:24" x14ac:dyDescent="0.2">
      <c r="B80" s="354"/>
      <c r="C80" s="769"/>
      <c r="D80" s="770"/>
      <c r="E80" s="770"/>
      <c r="F80" s="770"/>
      <c r="G80" s="770"/>
      <c r="H80" s="770"/>
      <c r="I80" s="770"/>
      <c r="J80" s="770"/>
      <c r="K80" s="770"/>
      <c r="L80" s="770"/>
      <c r="M80" s="770"/>
      <c r="N80" s="770"/>
      <c r="O80" s="770"/>
      <c r="P80" s="770"/>
      <c r="Q80" s="770"/>
      <c r="R80" s="770"/>
      <c r="S80" s="770"/>
      <c r="T80" s="770"/>
      <c r="U80" s="770"/>
      <c r="V80" s="179"/>
    </row>
    <row r="81" spans="2:22" x14ac:dyDescent="0.2">
      <c r="B81" s="354"/>
      <c r="C81" s="770"/>
      <c r="D81" s="770"/>
      <c r="E81" s="770"/>
      <c r="F81" s="770"/>
      <c r="G81" s="770"/>
      <c r="H81" s="770"/>
      <c r="I81" s="770"/>
      <c r="J81" s="770"/>
      <c r="K81" s="770"/>
      <c r="L81" s="770"/>
      <c r="M81" s="770"/>
      <c r="N81" s="770"/>
      <c r="O81" s="770"/>
      <c r="P81" s="770"/>
      <c r="Q81" s="770"/>
      <c r="R81" s="770"/>
      <c r="S81" s="770"/>
      <c r="T81" s="770"/>
      <c r="U81" s="770"/>
      <c r="V81" s="179"/>
    </row>
    <row r="82" spans="2:22" x14ac:dyDescent="0.2">
      <c r="B82" s="354"/>
      <c r="C82" s="770"/>
      <c r="D82" s="770"/>
      <c r="E82" s="770"/>
      <c r="F82" s="770"/>
      <c r="G82" s="770"/>
      <c r="H82" s="770"/>
      <c r="I82" s="770"/>
      <c r="J82" s="770"/>
      <c r="K82" s="770"/>
      <c r="L82" s="770"/>
      <c r="M82" s="770"/>
      <c r="N82" s="770"/>
      <c r="O82" s="770"/>
      <c r="P82" s="770"/>
      <c r="Q82" s="770"/>
      <c r="R82" s="770"/>
      <c r="S82" s="770"/>
      <c r="T82" s="770"/>
      <c r="U82" s="770"/>
      <c r="V82" s="179"/>
    </row>
    <row r="83" spans="2:22" x14ac:dyDescent="0.2">
      <c r="B83" s="354"/>
      <c r="C83" s="770"/>
      <c r="D83" s="770"/>
      <c r="E83" s="770"/>
      <c r="F83" s="770"/>
      <c r="G83" s="770"/>
      <c r="H83" s="770"/>
      <c r="I83" s="770"/>
      <c r="J83" s="770"/>
      <c r="K83" s="770"/>
      <c r="L83" s="770"/>
      <c r="M83" s="770"/>
      <c r="N83" s="770"/>
      <c r="O83" s="770"/>
      <c r="P83" s="770"/>
      <c r="Q83" s="770"/>
      <c r="R83" s="770"/>
      <c r="S83" s="770"/>
      <c r="T83" s="770"/>
      <c r="U83" s="770"/>
      <c r="V83" s="179"/>
    </row>
    <row r="84" spans="2:22" x14ac:dyDescent="0.2">
      <c r="B84" s="354"/>
      <c r="C84" s="770"/>
      <c r="D84" s="770"/>
      <c r="E84" s="770"/>
      <c r="F84" s="770"/>
      <c r="G84" s="770"/>
      <c r="H84" s="770"/>
      <c r="I84" s="770"/>
      <c r="J84" s="770"/>
      <c r="K84" s="770"/>
      <c r="L84" s="770"/>
      <c r="M84" s="770"/>
      <c r="N84" s="770"/>
      <c r="O84" s="770"/>
      <c r="P84" s="770"/>
      <c r="Q84" s="770"/>
      <c r="R84" s="770"/>
      <c r="S84" s="770"/>
      <c r="T84" s="770"/>
      <c r="U84" s="770"/>
      <c r="V84" s="179"/>
    </row>
    <row r="85" spans="2:22" x14ac:dyDescent="0.2">
      <c r="B85" s="354"/>
      <c r="C85" s="770"/>
      <c r="D85" s="770"/>
      <c r="E85" s="770"/>
      <c r="F85" s="770"/>
      <c r="G85" s="770"/>
      <c r="H85" s="770"/>
      <c r="I85" s="770"/>
      <c r="J85" s="770"/>
      <c r="K85" s="770"/>
      <c r="L85" s="770"/>
      <c r="M85" s="770"/>
      <c r="N85" s="770"/>
      <c r="O85" s="770"/>
      <c r="P85" s="770"/>
      <c r="Q85" s="770"/>
      <c r="R85" s="770"/>
      <c r="S85" s="770"/>
      <c r="T85" s="770"/>
      <c r="U85" s="770"/>
      <c r="V85" s="179"/>
    </row>
    <row r="86" spans="2:22" x14ac:dyDescent="0.2">
      <c r="B86" s="354"/>
      <c r="C86" s="770"/>
      <c r="D86" s="770"/>
      <c r="E86" s="770"/>
      <c r="F86" s="770"/>
      <c r="G86" s="770"/>
      <c r="H86" s="770"/>
      <c r="I86" s="770"/>
      <c r="J86" s="770"/>
      <c r="K86" s="770"/>
      <c r="L86" s="770"/>
      <c r="M86" s="770"/>
      <c r="N86" s="770"/>
      <c r="O86" s="770"/>
      <c r="P86" s="770"/>
      <c r="Q86" s="770"/>
      <c r="R86" s="770"/>
      <c r="S86" s="770"/>
      <c r="T86" s="770"/>
      <c r="U86" s="770"/>
      <c r="V86" s="179"/>
    </row>
    <row r="87" spans="2:22" x14ac:dyDescent="0.2">
      <c r="B87" s="354"/>
      <c r="C87" s="770"/>
      <c r="D87" s="770"/>
      <c r="E87" s="770"/>
      <c r="F87" s="770"/>
      <c r="G87" s="770"/>
      <c r="H87" s="770"/>
      <c r="I87" s="770"/>
      <c r="J87" s="770"/>
      <c r="K87" s="770"/>
      <c r="L87" s="770"/>
      <c r="M87" s="770"/>
      <c r="N87" s="770"/>
      <c r="O87" s="770"/>
      <c r="P87" s="770"/>
      <c r="Q87" s="770"/>
      <c r="R87" s="770"/>
      <c r="S87" s="770"/>
      <c r="T87" s="770"/>
      <c r="U87" s="770"/>
      <c r="V87" s="179"/>
    </row>
    <row r="88" spans="2:22" x14ac:dyDescent="0.2">
      <c r="C88" s="785"/>
      <c r="D88" s="785"/>
      <c r="E88" s="786"/>
      <c r="F88" s="786"/>
      <c r="G88" s="786"/>
      <c r="H88" s="786"/>
      <c r="I88" s="786"/>
      <c r="J88" s="786"/>
      <c r="K88" s="786"/>
      <c r="L88" s="786"/>
      <c r="M88" s="786"/>
      <c r="N88" s="786"/>
      <c r="O88" s="786"/>
      <c r="P88" s="786"/>
      <c r="Q88" s="786"/>
      <c r="R88" s="786"/>
      <c r="S88" s="786"/>
      <c r="T88" s="786"/>
      <c r="U88" s="786"/>
      <c r="V88" s="27"/>
    </row>
    <row r="89" spans="2:22" x14ac:dyDescent="0.2">
      <c r="C89" s="786"/>
      <c r="D89" s="786"/>
      <c r="E89" s="786"/>
      <c r="F89" s="786"/>
      <c r="G89" s="786"/>
      <c r="H89" s="786"/>
      <c r="I89" s="786"/>
      <c r="J89" s="786"/>
      <c r="K89" s="786"/>
      <c r="L89" s="786"/>
      <c r="M89" s="786"/>
      <c r="N89" s="786"/>
      <c r="O89" s="786"/>
      <c r="P89" s="786"/>
      <c r="Q89" s="786"/>
      <c r="R89" s="786"/>
      <c r="S89" s="786"/>
      <c r="T89" s="786"/>
      <c r="U89" s="786"/>
      <c r="V89" s="27"/>
    </row>
  </sheetData>
  <sheetProtection algorithmName="SHA-512" hashValue="3dP9gq2pwBX4JWggBQ0wdp8HZu/av0l9UjERY8wb5MIbjOMbMxY9WXQ1hemR+VAYPILNisI3eXvRACIDICDhXA==" saltValue="S4lmkJOtUo7XYdjHxqEi/A==" spinCount="100000" sheet="1" objects="1" scenarios="1"/>
  <mergeCells count="32">
    <mergeCell ref="C88:U89"/>
    <mergeCell ref="C71:U71"/>
    <mergeCell ref="C72:U72"/>
    <mergeCell ref="C70:U70"/>
    <mergeCell ref="C87:U87"/>
    <mergeCell ref="C75:U75"/>
    <mergeCell ref="C81:U81"/>
    <mergeCell ref="C73:U73"/>
    <mergeCell ref="C76:U76"/>
    <mergeCell ref="C77:U77"/>
    <mergeCell ref="C82:U82"/>
    <mergeCell ref="C83:U83"/>
    <mergeCell ref="C84:U84"/>
    <mergeCell ref="C85:U85"/>
    <mergeCell ref="C86:U86"/>
    <mergeCell ref="C74:U74"/>
    <mergeCell ref="C80:U80"/>
    <mergeCell ref="C78:U79"/>
    <mergeCell ref="C1:M1"/>
    <mergeCell ref="E8:U8"/>
    <mergeCell ref="Y20:Y21"/>
    <mergeCell ref="C69:U69"/>
    <mergeCell ref="C4:K4"/>
    <mergeCell ref="C2:K2"/>
    <mergeCell ref="C3:K3"/>
    <mergeCell ref="O12:O13"/>
    <mergeCell ref="G12:G13"/>
    <mergeCell ref="Q12:Q13"/>
    <mergeCell ref="E12:E13"/>
    <mergeCell ref="I12:I13"/>
    <mergeCell ref="U12:U13"/>
    <mergeCell ref="M12:M13"/>
  </mergeCells>
  <phoneticPr fontId="2" type="noConversion"/>
  <conditionalFormatting sqref="U59 M59 E59">
    <cfRule type="cellIs" dxfId="80" priority="9" stopIfTrue="1" operator="equal">
      <formula>0</formula>
    </cfRule>
  </conditionalFormatting>
  <conditionalFormatting sqref="M21 U21">
    <cfRule type="cellIs" dxfId="79" priority="10" stopIfTrue="1" operator="equal">
      <formula>0</formula>
    </cfRule>
  </conditionalFormatting>
  <conditionalFormatting sqref="M19:M20 M16">
    <cfRule type="cellIs" dxfId="78" priority="11" stopIfTrue="1" operator="equal">
      <formula>0</formula>
    </cfRule>
  </conditionalFormatting>
  <conditionalFormatting sqref="I12:I13 M12:M13 Q12:Q13">
    <cfRule type="cellIs" dxfId="77" priority="12" stopIfTrue="1" operator="notEqual">
      <formula>""</formula>
    </cfRule>
  </conditionalFormatting>
  <conditionalFormatting sqref="M21">
    <cfRule type="cellIs" dxfId="76" priority="3" operator="equal">
      <formula>0</formula>
    </cfRule>
    <cfRule type="cellIs" dxfId="75" priority="6" operator="notEqual">
      <formula>0.075</formula>
    </cfRule>
  </conditionalFormatting>
  <conditionalFormatting sqref="U21">
    <cfRule type="cellIs" dxfId="74" priority="2" operator="equal">
      <formula>0</formula>
    </cfRule>
    <cfRule type="cellIs" dxfId="73" priority="4" operator="notEqual">
      <formula>0.075</formula>
    </cfRule>
    <cfRule type="cellIs" priority="5" operator="notEqual">
      <formula>0.075</formula>
    </cfRule>
  </conditionalFormatting>
  <dataValidations disablePrompts="1" count="1">
    <dataValidation type="list" allowBlank="1" showInputMessage="1" showErrorMessage="1" prompt="Select either Interrogatory Responses, Supplementary Interrogatory Responses, Technical Conference, Settlement Agreement, Argument-in-Chief, or Reply Submission" sqref="M12:M13" xr:uid="{00000000-0002-0000-0200-000000000000}">
      <formula1>"Application Update, Interrogatory Responses, Supplementary Interrogatory Responses, Technical Conference, Settlement Agreement, Argument-in-Chief, Close of Discovery, Reply Submission"</formula1>
    </dataValidation>
  </dataValidations>
  <pageMargins left="0.31496062992125984" right="0.31496062992125984" top="0.74803149606299213" bottom="0.74803149606299213" header="0.31496062992125984" footer="0.31496062992125984"/>
  <pageSetup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dimension ref="A1:I30"/>
  <sheetViews>
    <sheetView workbookViewId="0">
      <selection activeCell="I8" sqref="I8"/>
    </sheetView>
  </sheetViews>
  <sheetFormatPr defaultRowHeight="12.75" x14ac:dyDescent="0.2"/>
  <cols>
    <col min="1" max="1" width="12.85546875" bestFit="1" customWidth="1"/>
    <col min="2" max="2" width="9.85546875" bestFit="1" customWidth="1"/>
    <col min="3" max="3" width="8.85546875" bestFit="1" customWidth="1"/>
    <col min="4" max="4" width="10.42578125" bestFit="1" customWidth="1"/>
    <col min="5" max="5" width="16.85546875" bestFit="1" customWidth="1"/>
    <col min="6" max="6" width="35.42578125" bestFit="1" customWidth="1"/>
    <col min="7" max="7" width="25.7109375" bestFit="1" customWidth="1"/>
    <col min="8" max="8" width="25.7109375" style="725" bestFit="1" customWidth="1"/>
    <col min="9" max="9" width="16.42578125" style="725" bestFit="1" customWidth="1"/>
  </cols>
  <sheetData>
    <row r="1" spans="1:9" x14ac:dyDescent="0.2">
      <c r="A1" t="s">
        <v>421</v>
      </c>
      <c r="B1" t="s">
        <v>422</v>
      </c>
      <c r="C1" t="s">
        <v>355</v>
      </c>
      <c r="D1" t="s">
        <v>419</v>
      </c>
      <c r="E1" t="s">
        <v>420</v>
      </c>
      <c r="F1" s="443" t="s">
        <v>423</v>
      </c>
      <c r="G1" s="443" t="s">
        <v>424</v>
      </c>
      <c r="H1" s="724" t="s">
        <v>425</v>
      </c>
      <c r="I1" s="724" t="s">
        <v>154</v>
      </c>
    </row>
    <row r="2" spans="1:9" x14ac:dyDescent="0.2">
      <c r="A2" t="str">
        <f>'1. Info'!$G$16</f>
        <v>Milton Hydro Distribution Inc.</v>
      </c>
      <c r="B2" t="str">
        <f>'1. Info'!$G$20</f>
        <v>EB-2022-0049</v>
      </c>
      <c r="C2">
        <f>'1. Info'!$G$28</f>
        <v>2023</v>
      </c>
      <c r="D2">
        <f>'1. Info'!$G$30</f>
        <v>2022</v>
      </c>
      <c r="E2">
        <f>'1. Info'!$G$32</f>
        <v>2016</v>
      </c>
      <c r="F2" s="443" t="s">
        <v>102</v>
      </c>
      <c r="G2" t="s">
        <v>7</v>
      </c>
      <c r="H2" s="725">
        <f>'3. Data_Input_Sheet'!E16</f>
        <v>187041882.32480004</v>
      </c>
      <c r="I2" s="725">
        <f>'3. Data_Input_Sheet'!U16</f>
        <v>187041882.32480004</v>
      </c>
    </row>
    <row r="3" spans="1:9" x14ac:dyDescent="0.2">
      <c r="A3" t="str">
        <f>'1. Info'!$G$16</f>
        <v>Milton Hydro Distribution Inc.</v>
      </c>
      <c r="B3" t="str">
        <f>'1. Info'!$G$20</f>
        <v>EB-2022-0049</v>
      </c>
      <c r="C3">
        <f>'1. Info'!$G$28</f>
        <v>2023</v>
      </c>
      <c r="D3">
        <f>'1. Info'!$G$30</f>
        <v>2022</v>
      </c>
      <c r="E3">
        <f>'1. Info'!$G$32</f>
        <v>2016</v>
      </c>
      <c r="F3" s="443" t="s">
        <v>103</v>
      </c>
      <c r="G3" t="s">
        <v>7</v>
      </c>
      <c r="H3" s="725">
        <f>'3. Data_Input_Sheet'!E17</f>
        <v>-82017554.507335305</v>
      </c>
      <c r="I3" s="725">
        <f>'3. Data_Input_Sheet'!U17</f>
        <v>-82017554.507335305</v>
      </c>
    </row>
    <row r="4" spans="1:9" x14ac:dyDescent="0.2">
      <c r="A4" t="str">
        <f>'1. Info'!$G$16</f>
        <v>Milton Hydro Distribution Inc.</v>
      </c>
      <c r="B4" t="str">
        <f>'1. Info'!$G$20</f>
        <v>EB-2022-0049</v>
      </c>
      <c r="C4">
        <f>'1. Info'!$G$28</f>
        <v>2023</v>
      </c>
      <c r="D4">
        <f>'1. Info'!$G$30</f>
        <v>2022</v>
      </c>
      <c r="E4">
        <f>'1. Info'!$G$32</f>
        <v>2016</v>
      </c>
      <c r="F4" s="721" t="s">
        <v>9</v>
      </c>
      <c r="G4" s="723" t="s">
        <v>58</v>
      </c>
      <c r="H4" s="725">
        <f>'3. Data_Input_Sheet'!E19</f>
        <v>15133537.498750471</v>
      </c>
      <c r="I4" s="725">
        <f>'3. Data_Input_Sheet'!U19</f>
        <v>15133537.498750471</v>
      </c>
    </row>
    <row r="5" spans="1:9" x14ac:dyDescent="0.2">
      <c r="A5" t="str">
        <f>'1. Info'!$G$16</f>
        <v>Milton Hydro Distribution Inc.</v>
      </c>
      <c r="B5" t="str">
        <f>'1. Info'!$G$20</f>
        <v>EB-2022-0049</v>
      </c>
      <c r="C5">
        <f>'1. Info'!$G$28</f>
        <v>2023</v>
      </c>
      <c r="D5">
        <f>'1. Info'!$G$30</f>
        <v>2022</v>
      </c>
      <c r="E5">
        <f>'1. Info'!$G$32</f>
        <v>2016</v>
      </c>
      <c r="F5" s="721" t="s">
        <v>5</v>
      </c>
      <c r="G5" s="723" t="s">
        <v>58</v>
      </c>
      <c r="H5" s="725">
        <f>'3. Data_Input_Sheet'!E20</f>
        <v>98955673.799163997</v>
      </c>
      <c r="I5" s="725">
        <f>'3. Data_Input_Sheet'!U20</f>
        <v>98955673.799163997</v>
      </c>
    </row>
    <row r="6" spans="1:9" x14ac:dyDescent="0.2">
      <c r="A6" t="str">
        <f>'1. Info'!$G$16</f>
        <v>Milton Hydro Distribution Inc.</v>
      </c>
      <c r="B6" t="str">
        <f>'1. Info'!$G$20</f>
        <v>EB-2022-0049</v>
      </c>
      <c r="C6">
        <f>'1. Info'!$G$28</f>
        <v>2023</v>
      </c>
      <c r="D6">
        <f>'1. Info'!$G$30</f>
        <v>2022</v>
      </c>
      <c r="E6">
        <f>'1. Info'!$G$32</f>
        <v>2016</v>
      </c>
      <c r="F6" s="721" t="s">
        <v>426</v>
      </c>
      <c r="G6" s="723" t="s">
        <v>58</v>
      </c>
      <c r="H6" s="725">
        <f>'3. Data_Input_Sheet'!E21</f>
        <v>7.4999999999999997E-2</v>
      </c>
      <c r="I6" s="725">
        <f>'3. Data_Input_Sheet'!U21</f>
        <v>7.4999999999999997E-2</v>
      </c>
    </row>
    <row r="7" spans="1:9" x14ac:dyDescent="0.2">
      <c r="A7" t="str">
        <f>'1. Info'!$G$16</f>
        <v>Milton Hydro Distribution Inc.</v>
      </c>
      <c r="B7" t="str">
        <f>'1. Info'!$G$20</f>
        <v>EB-2022-0049</v>
      </c>
      <c r="C7">
        <f>'1. Info'!$G$28</f>
        <v>2023</v>
      </c>
      <c r="D7">
        <f>'1. Info'!$G$30</f>
        <v>2022</v>
      </c>
      <c r="E7">
        <f>'1. Info'!$G$32</f>
        <v>2016</v>
      </c>
      <c r="F7" s="723" t="s">
        <v>427</v>
      </c>
      <c r="G7" s="723" t="s">
        <v>47</v>
      </c>
      <c r="H7" s="725">
        <f>'3. Data_Input_Sheet'!E25</f>
        <v>20420990.967166699</v>
      </c>
      <c r="I7" s="725">
        <f>'3. Data_Input_Sheet'!U25</f>
        <v>20420990.967166699</v>
      </c>
    </row>
    <row r="8" spans="1:9" x14ac:dyDescent="0.2">
      <c r="A8" t="str">
        <f>'1. Info'!$G$16</f>
        <v>Milton Hydro Distribution Inc.</v>
      </c>
      <c r="B8" t="str">
        <f>'1. Info'!$G$20</f>
        <v>EB-2022-0049</v>
      </c>
      <c r="C8">
        <f>'1. Info'!$G$28</f>
        <v>2023</v>
      </c>
      <c r="D8">
        <f>'1. Info'!$G$30</f>
        <v>2022</v>
      </c>
      <c r="E8">
        <f>'1. Info'!$G$32</f>
        <v>2016</v>
      </c>
      <c r="F8" s="723" t="s">
        <v>428</v>
      </c>
      <c r="G8" s="723" t="s">
        <v>47</v>
      </c>
      <c r="H8" s="725">
        <f>'3. Data_Input_Sheet'!E26</f>
        <v>24771346.156729858</v>
      </c>
      <c r="I8" s="725">
        <f>'3. Data_Input_Sheet'!U26</f>
        <v>24771346.156729858</v>
      </c>
    </row>
    <row r="9" spans="1:9" x14ac:dyDescent="0.2">
      <c r="A9" t="str">
        <f>'1. Info'!$G$16</f>
        <v>Milton Hydro Distribution Inc.</v>
      </c>
      <c r="B9" t="str">
        <f>'1. Info'!$G$20</f>
        <v>EB-2022-0049</v>
      </c>
      <c r="C9">
        <f>'1. Info'!$G$28</f>
        <v>2023</v>
      </c>
      <c r="D9">
        <f>'1. Info'!$G$30</f>
        <v>2022</v>
      </c>
      <c r="E9">
        <f>'1. Info'!$G$32</f>
        <v>2016</v>
      </c>
      <c r="F9" s="723" t="s">
        <v>429</v>
      </c>
      <c r="G9" s="723" t="s">
        <v>64</v>
      </c>
      <c r="H9" s="725">
        <f>'3. Data_Input_Sheet'!E28</f>
        <v>321846</v>
      </c>
      <c r="I9" s="725">
        <f>'3. Data_Input_Sheet'!U28</f>
        <v>321846</v>
      </c>
    </row>
    <row r="10" spans="1:9" x14ac:dyDescent="0.2">
      <c r="A10" t="str">
        <f>'1. Info'!$G$16</f>
        <v>Milton Hydro Distribution Inc.</v>
      </c>
      <c r="B10" t="str">
        <f>'1. Info'!$G$20</f>
        <v>EB-2022-0049</v>
      </c>
      <c r="C10">
        <f>'1. Info'!$G$28</f>
        <v>2023</v>
      </c>
      <c r="D10">
        <f>'1. Info'!$G$30</f>
        <v>2022</v>
      </c>
      <c r="E10">
        <f>'1. Info'!$G$32</f>
        <v>2016</v>
      </c>
      <c r="F10" s="723" t="s">
        <v>430</v>
      </c>
      <c r="G10" s="723" t="s">
        <v>64</v>
      </c>
      <c r="H10" s="725">
        <f>'3. Data_Input_Sheet'!E29</f>
        <v>226280</v>
      </c>
      <c r="I10" s="725">
        <f>'3. Data_Input_Sheet'!U29</f>
        <v>226280</v>
      </c>
    </row>
    <row r="11" spans="1:9" x14ac:dyDescent="0.2">
      <c r="A11" t="str">
        <f>'1. Info'!$G$16</f>
        <v>Milton Hydro Distribution Inc.</v>
      </c>
      <c r="B11" t="str">
        <f>'1. Info'!$G$20</f>
        <v>EB-2022-0049</v>
      </c>
      <c r="C11">
        <f>'1. Info'!$G$28</f>
        <v>2023</v>
      </c>
      <c r="D11">
        <f>'1. Info'!$G$30</f>
        <v>2022</v>
      </c>
      <c r="E11">
        <f>'1. Info'!$G$32</f>
        <v>2016</v>
      </c>
      <c r="F11" s="723" t="s">
        <v>431</v>
      </c>
      <c r="G11" s="723" t="s">
        <v>64</v>
      </c>
      <c r="H11" s="725">
        <f>'3. Data_Input_Sheet'!E30</f>
        <v>1119716</v>
      </c>
      <c r="I11" s="725">
        <f>'3. Data_Input_Sheet'!U30</f>
        <v>1119716</v>
      </c>
    </row>
    <row r="12" spans="1:9" x14ac:dyDescent="0.2">
      <c r="A12" t="str">
        <f>'1. Info'!$G$16</f>
        <v>Milton Hydro Distribution Inc.</v>
      </c>
      <c r="B12" t="str">
        <f>'1. Info'!$G$16</f>
        <v>Milton Hydro Distribution Inc.</v>
      </c>
      <c r="C12" t="str">
        <f>'1. Info'!$G$16</f>
        <v>Milton Hydro Distribution Inc.</v>
      </c>
      <c r="D12" t="str">
        <f>'1. Info'!$G$16</f>
        <v>Milton Hydro Distribution Inc.</v>
      </c>
      <c r="E12" t="str">
        <f>'1. Info'!$G$16</f>
        <v>Milton Hydro Distribution Inc.</v>
      </c>
      <c r="F12" s="723" t="s">
        <v>432</v>
      </c>
      <c r="G12" s="723" t="s">
        <v>64</v>
      </c>
      <c r="H12" s="725">
        <f>'3. Data_Input_Sheet'!E31</f>
        <v>533522</v>
      </c>
      <c r="I12" s="725">
        <f>'3. Data_Input_Sheet'!U31</f>
        <v>533522</v>
      </c>
    </row>
    <row r="13" spans="1:9" x14ac:dyDescent="0.2">
      <c r="A13" t="str">
        <f>'1. Info'!$G$16</f>
        <v>Milton Hydro Distribution Inc.</v>
      </c>
      <c r="B13" t="str">
        <f>'1. Info'!$G$16</f>
        <v>Milton Hydro Distribution Inc.</v>
      </c>
      <c r="C13" t="str">
        <f>'1. Info'!$G$16</f>
        <v>Milton Hydro Distribution Inc.</v>
      </c>
      <c r="D13" t="str">
        <f>'1. Info'!$G$16</f>
        <v>Milton Hydro Distribution Inc.</v>
      </c>
      <c r="E13" t="str">
        <f>'1. Info'!$G$16</f>
        <v>Milton Hydro Distribution Inc.</v>
      </c>
      <c r="F13" s="723" t="s">
        <v>57</v>
      </c>
      <c r="G13" s="723" t="s">
        <v>64</v>
      </c>
      <c r="H13" s="725">
        <f>'3. Data_Input_Sheet'!E33</f>
        <v>2201364</v>
      </c>
      <c r="I13" s="725">
        <f>'3. Data_Input_Sheet'!U33</f>
        <v>2201364</v>
      </c>
    </row>
    <row r="14" spans="1:9" x14ac:dyDescent="0.2">
      <c r="A14" t="str">
        <f>'1. Info'!$G$16</f>
        <v>Milton Hydro Distribution Inc.</v>
      </c>
      <c r="B14" t="str">
        <f>'1. Info'!$G$20</f>
        <v>EB-2022-0049</v>
      </c>
      <c r="C14">
        <f>'1. Info'!$G$28</f>
        <v>2023</v>
      </c>
      <c r="D14">
        <f>'1. Info'!$G$30</f>
        <v>2022</v>
      </c>
      <c r="E14">
        <f>'1. Info'!$G$32</f>
        <v>2016</v>
      </c>
      <c r="F14" s="723" t="s">
        <v>39</v>
      </c>
      <c r="G14" s="443" t="s">
        <v>117</v>
      </c>
      <c r="H14" s="725">
        <f>'3. Data_Input_Sheet'!E36</f>
        <v>14933344.998750471</v>
      </c>
      <c r="I14" s="725">
        <f>'3. Data_Input_Sheet'!U36</f>
        <v>14933344.998750471</v>
      </c>
    </row>
    <row r="15" spans="1:9" x14ac:dyDescent="0.2">
      <c r="A15" t="str">
        <f>'1. Info'!$G$16</f>
        <v>Milton Hydro Distribution Inc.</v>
      </c>
      <c r="B15" t="str">
        <f>'1. Info'!$G$20</f>
        <v>EB-2022-0049</v>
      </c>
      <c r="C15">
        <f>'1. Info'!$G$28</f>
        <v>2023</v>
      </c>
      <c r="D15">
        <f>'1. Info'!$G$30</f>
        <v>2022</v>
      </c>
      <c r="E15">
        <f>'1. Info'!$G$32</f>
        <v>2016</v>
      </c>
      <c r="F15" s="723" t="s">
        <v>26</v>
      </c>
      <c r="G15" s="443" t="s">
        <v>117</v>
      </c>
      <c r="H15" s="725">
        <f>'3. Data_Input_Sheet'!E37</f>
        <v>4916956.9560465533</v>
      </c>
      <c r="I15" s="725">
        <f>'3. Data_Input_Sheet'!U37</f>
        <v>4916956.9560465533</v>
      </c>
    </row>
    <row r="16" spans="1:9" x14ac:dyDescent="0.2">
      <c r="A16" t="str">
        <f>'1. Info'!$G$16</f>
        <v>Milton Hydro Distribution Inc.</v>
      </c>
      <c r="B16" t="str">
        <f>'1. Info'!$G$20</f>
        <v>EB-2022-0049</v>
      </c>
      <c r="C16">
        <f>'1. Info'!$G$28</f>
        <v>2023</v>
      </c>
      <c r="D16">
        <f>'1. Info'!$G$30</f>
        <v>2022</v>
      </c>
      <c r="E16">
        <f>'1. Info'!$G$32</f>
        <v>2016</v>
      </c>
      <c r="F16" s="723" t="s">
        <v>44</v>
      </c>
      <c r="G16" s="443" t="s">
        <v>117</v>
      </c>
      <c r="H16" s="725">
        <f>'3. Data_Input_Sheet'!E38</f>
        <v>200192.5</v>
      </c>
      <c r="I16" s="725">
        <f>'3. Data_Input_Sheet'!U38</f>
        <v>200192.5</v>
      </c>
    </row>
    <row r="17" spans="1:9" x14ac:dyDescent="0.2">
      <c r="A17" t="str">
        <f>'1. Info'!$G$16</f>
        <v>Milton Hydro Distribution Inc.</v>
      </c>
      <c r="B17" t="str">
        <f>'1. Info'!$G$20</f>
        <v>EB-2022-0049</v>
      </c>
      <c r="C17">
        <f>'1. Info'!$G$28</f>
        <v>2023</v>
      </c>
      <c r="D17">
        <f>'1. Info'!$G$30</f>
        <v>2022</v>
      </c>
      <c r="E17">
        <f>'1. Info'!$G$32</f>
        <v>2016</v>
      </c>
      <c r="F17" s="723" t="s">
        <v>436</v>
      </c>
      <c r="G17" s="443" t="s">
        <v>117</v>
      </c>
      <c r="H17" s="725">
        <f>'3. Data_Input_Sheet'!E40</f>
        <v>0</v>
      </c>
      <c r="I17" s="725" t="str">
        <f>'3. Data_Input_Sheet'!U40</f>
        <v/>
      </c>
    </row>
    <row r="18" spans="1:9" ht="25.5" x14ac:dyDescent="0.2">
      <c r="A18" t="str">
        <f>'1. Info'!$G$16</f>
        <v>Milton Hydro Distribution Inc.</v>
      </c>
      <c r="B18" t="str">
        <f>'1. Info'!$G$20</f>
        <v>EB-2022-0049</v>
      </c>
      <c r="C18">
        <f>'1. Info'!$G$28</f>
        <v>2023</v>
      </c>
      <c r="D18">
        <f>'1. Info'!$G$30</f>
        <v>2022</v>
      </c>
      <c r="E18">
        <f>'1. Info'!$G$32</f>
        <v>2016</v>
      </c>
      <c r="F18" s="722" t="s">
        <v>146</v>
      </c>
      <c r="G18" s="443" t="s">
        <v>115</v>
      </c>
      <c r="H18" s="725">
        <f>'3. Data_Input_Sheet'!E44</f>
        <v>-2021577.474419333</v>
      </c>
      <c r="I18" s="725">
        <f>'3. Data_Input_Sheet'!U44</f>
        <v>-2021577.474419333</v>
      </c>
    </row>
    <row r="19" spans="1:9" x14ac:dyDescent="0.2">
      <c r="A19" t="str">
        <f>'1. Info'!$G$16</f>
        <v>Milton Hydro Distribution Inc.</v>
      </c>
      <c r="B19" t="str">
        <f>'1. Info'!$G$20</f>
        <v>EB-2022-0049</v>
      </c>
      <c r="C19">
        <f>'1. Info'!$G$28</f>
        <v>2023</v>
      </c>
      <c r="D19">
        <f>'1. Info'!$G$30</f>
        <v>2022</v>
      </c>
      <c r="E19">
        <f>'1. Info'!$G$32</f>
        <v>2016</v>
      </c>
      <c r="F19" s="723" t="s">
        <v>435</v>
      </c>
      <c r="G19" s="723" t="s">
        <v>445</v>
      </c>
      <c r="H19" s="725">
        <f>'3. Data_Input_Sheet'!E46</f>
        <v>502824.80621435074</v>
      </c>
      <c r="I19" s="725">
        <f>'3. Data_Input_Sheet'!U46</f>
        <v>502824.80621435074</v>
      </c>
    </row>
    <row r="20" spans="1:9" x14ac:dyDescent="0.2">
      <c r="A20" t="str">
        <f>'1. Info'!$G$16</f>
        <v>Milton Hydro Distribution Inc.</v>
      </c>
      <c r="B20" t="str">
        <f>'1. Info'!$G$20</f>
        <v>EB-2022-0049</v>
      </c>
      <c r="C20">
        <f>'1. Info'!$G$28</f>
        <v>2023</v>
      </c>
      <c r="D20">
        <f>'1. Info'!$G$30</f>
        <v>2022</v>
      </c>
      <c r="E20">
        <f>'1. Info'!$G$32</f>
        <v>2016</v>
      </c>
      <c r="F20" s="723" t="s">
        <v>136</v>
      </c>
      <c r="G20" s="723" t="s">
        <v>434</v>
      </c>
      <c r="H20" s="725">
        <f>'3. Data_Input_Sheet'!E49</f>
        <v>0.15</v>
      </c>
      <c r="I20" s="725">
        <f>'3. Data_Input_Sheet'!U49</f>
        <v>0.15</v>
      </c>
    </row>
    <row r="21" spans="1:9" x14ac:dyDescent="0.2">
      <c r="A21" t="str">
        <f>'1. Info'!$G$16</f>
        <v>Milton Hydro Distribution Inc.</v>
      </c>
      <c r="B21" t="str">
        <f>'1. Info'!$G$20</f>
        <v>EB-2022-0049</v>
      </c>
      <c r="C21">
        <f>'1. Info'!$G$28</f>
        <v>2023</v>
      </c>
      <c r="D21">
        <f>'1. Info'!$G$30</f>
        <v>2022</v>
      </c>
      <c r="E21">
        <f>'1. Info'!$G$32</f>
        <v>2016</v>
      </c>
      <c r="F21" s="723" t="s">
        <v>137</v>
      </c>
      <c r="G21" s="723" t="s">
        <v>434</v>
      </c>
      <c r="H21" s="725">
        <f>'3. Data_Input_Sheet'!E50</f>
        <v>0.115</v>
      </c>
      <c r="I21" s="725">
        <f>'3. Data_Input_Sheet'!U50</f>
        <v>0.115</v>
      </c>
    </row>
    <row r="22" spans="1:9" x14ac:dyDescent="0.2">
      <c r="A22" t="str">
        <f>'1. Info'!$G$16</f>
        <v>Milton Hydro Distribution Inc.</v>
      </c>
      <c r="B22" t="str">
        <f>'1. Info'!$G$20</f>
        <v>EB-2022-0049</v>
      </c>
      <c r="C22">
        <f>'1. Info'!$G$28</f>
        <v>2023</v>
      </c>
      <c r="D22">
        <f>'1. Info'!$G$30</f>
        <v>2022</v>
      </c>
      <c r="E22">
        <f>'1. Info'!$G$32</f>
        <v>2016</v>
      </c>
      <c r="F22" s="723" t="s">
        <v>116</v>
      </c>
      <c r="G22" s="723" t="s">
        <v>434</v>
      </c>
      <c r="H22" s="725">
        <f>'3. Data_Input_Sheet'!E51</f>
        <v>-4085.482</v>
      </c>
      <c r="I22" s="725">
        <f>'3. Data_Input_Sheet'!U51</f>
        <v>-4085.482</v>
      </c>
    </row>
    <row r="23" spans="1:9" x14ac:dyDescent="0.2">
      <c r="A23" t="str">
        <f>'1. Info'!$G$16</f>
        <v>Milton Hydro Distribution Inc.</v>
      </c>
      <c r="B23" t="str">
        <f>'1. Info'!$G$20</f>
        <v>EB-2022-0049</v>
      </c>
      <c r="C23">
        <f>'1. Info'!$G$28</f>
        <v>2023</v>
      </c>
      <c r="D23">
        <f>'1. Info'!$G$30</f>
        <v>2022</v>
      </c>
      <c r="E23">
        <f>'1. Info'!$G$32</f>
        <v>2016</v>
      </c>
      <c r="F23" s="723" t="s">
        <v>437</v>
      </c>
      <c r="G23" s="443" t="s">
        <v>433</v>
      </c>
      <c r="H23" s="725">
        <f>'3. Data_Input_Sheet'!E55</f>
        <v>0.56000000000000005</v>
      </c>
      <c r="I23" s="725">
        <f>'3. Data_Input_Sheet'!U55</f>
        <v>0.56000000000000005</v>
      </c>
    </row>
    <row r="24" spans="1:9" x14ac:dyDescent="0.2">
      <c r="A24" t="str">
        <f>'1. Info'!$G$16</f>
        <v>Milton Hydro Distribution Inc.</v>
      </c>
      <c r="B24" t="str">
        <f>'1. Info'!$G$20</f>
        <v>EB-2022-0049</v>
      </c>
      <c r="C24">
        <f>'1. Info'!$G$28</f>
        <v>2023</v>
      </c>
      <c r="D24">
        <f>'1. Info'!$G$30</f>
        <v>2022</v>
      </c>
      <c r="E24">
        <f>'1. Info'!$G$32</f>
        <v>2016</v>
      </c>
      <c r="F24" s="723" t="s">
        <v>438</v>
      </c>
      <c r="G24" s="443" t="s">
        <v>433</v>
      </c>
      <c r="H24" s="725">
        <f>'3. Data_Input_Sheet'!E56</f>
        <v>0.04</v>
      </c>
      <c r="I24" s="725">
        <f>'3. Data_Input_Sheet'!U56</f>
        <v>0.04</v>
      </c>
    </row>
    <row r="25" spans="1:9" x14ac:dyDescent="0.2">
      <c r="A25" t="str">
        <f>'1. Info'!$G$16</f>
        <v>Milton Hydro Distribution Inc.</v>
      </c>
      <c r="B25" t="str">
        <f>'1. Info'!$G$20</f>
        <v>EB-2022-0049</v>
      </c>
      <c r="C25">
        <f>'1. Info'!$G$28</f>
        <v>2023</v>
      </c>
      <c r="D25">
        <f>'1. Info'!$G$30</f>
        <v>2022</v>
      </c>
      <c r="E25">
        <f>'1. Info'!$G$32</f>
        <v>2016</v>
      </c>
      <c r="F25" s="723" t="s">
        <v>439</v>
      </c>
      <c r="G25" s="443" t="s">
        <v>433</v>
      </c>
      <c r="H25" s="725">
        <f>'3. Data_Input_Sheet'!E57</f>
        <v>0.4</v>
      </c>
      <c r="I25" s="725">
        <f>'3. Data_Input_Sheet'!U57</f>
        <v>0.4</v>
      </c>
    </row>
    <row r="26" spans="1:9" x14ac:dyDescent="0.2">
      <c r="A26" t="str">
        <f>'1. Info'!$G$16</f>
        <v>Milton Hydro Distribution Inc.</v>
      </c>
      <c r="B26" t="str">
        <f>'1. Info'!$G$20</f>
        <v>EB-2022-0049</v>
      </c>
      <c r="C26">
        <f>'1. Info'!$G$28</f>
        <v>2023</v>
      </c>
      <c r="D26">
        <f>'1. Info'!$G$30</f>
        <v>2022</v>
      </c>
      <c r="E26">
        <f>'1. Info'!$G$32</f>
        <v>2016</v>
      </c>
      <c r="F26" s="723" t="s">
        <v>440</v>
      </c>
      <c r="G26" s="443" t="s">
        <v>433</v>
      </c>
      <c r="H26" s="725">
        <f>'3. Data_Input_Sheet'!E58</f>
        <v>0</v>
      </c>
      <c r="I26" s="725">
        <f>'3. Data_Input_Sheet'!U58</f>
        <v>0</v>
      </c>
    </row>
    <row r="27" spans="1:9" x14ac:dyDescent="0.2">
      <c r="A27" t="str">
        <f>'1. Info'!$G$16</f>
        <v>Milton Hydro Distribution Inc.</v>
      </c>
      <c r="B27" t="str">
        <f>'1. Info'!$G$20</f>
        <v>EB-2022-0049</v>
      </c>
      <c r="C27">
        <f>'1. Info'!$G$28</f>
        <v>2023</v>
      </c>
      <c r="D27">
        <f>'1. Info'!$G$30</f>
        <v>2022</v>
      </c>
      <c r="E27">
        <f>'1. Info'!$G$32</f>
        <v>2016</v>
      </c>
      <c r="F27" s="723" t="s">
        <v>441</v>
      </c>
      <c r="G27" s="443" t="s">
        <v>89</v>
      </c>
      <c r="H27" s="725">
        <f>'3. Data_Input_Sheet'!E62</f>
        <v>3.5382192064317093E-2</v>
      </c>
      <c r="I27" s="725">
        <f>'3. Data_Input_Sheet'!U62</f>
        <v>3.5382192064317093E-2</v>
      </c>
    </row>
    <row r="28" spans="1:9" x14ac:dyDescent="0.2">
      <c r="A28" t="str">
        <f>'1. Info'!$G$16</f>
        <v>Milton Hydro Distribution Inc.</v>
      </c>
      <c r="B28" t="str">
        <f>'1. Info'!$G$20</f>
        <v>EB-2022-0049</v>
      </c>
      <c r="C28">
        <f>'1. Info'!$G$28</f>
        <v>2023</v>
      </c>
      <c r="D28">
        <f>'1. Info'!$G$30</f>
        <v>2022</v>
      </c>
      <c r="E28">
        <f>'1. Info'!$G$32</f>
        <v>2016</v>
      </c>
      <c r="F28" s="723" t="s">
        <v>442</v>
      </c>
      <c r="G28" s="443" t="s">
        <v>89</v>
      </c>
      <c r="H28" s="725">
        <f>'3. Data_Input_Sheet'!E63</f>
        <v>1.17E-2</v>
      </c>
      <c r="I28" s="725">
        <f>'3. Data_Input_Sheet'!U63</f>
        <v>1.17E-2</v>
      </c>
    </row>
    <row r="29" spans="1:9" x14ac:dyDescent="0.2">
      <c r="A29" t="str">
        <f>'1. Info'!$G$16</f>
        <v>Milton Hydro Distribution Inc.</v>
      </c>
      <c r="B29" t="str">
        <f>'1. Info'!$G$20</f>
        <v>EB-2022-0049</v>
      </c>
      <c r="C29">
        <f>'1. Info'!$G$28</f>
        <v>2023</v>
      </c>
      <c r="D29">
        <f>'1. Info'!$G$30</f>
        <v>2022</v>
      </c>
      <c r="E29">
        <f>'1. Info'!$G$32</f>
        <v>2016</v>
      </c>
      <c r="F29" s="723" t="s">
        <v>443</v>
      </c>
      <c r="G29" s="443" t="s">
        <v>89</v>
      </c>
      <c r="H29" s="725">
        <f>'3. Data_Input_Sheet'!E64</f>
        <v>8.6599999999999996E-2</v>
      </c>
      <c r="I29" s="725">
        <f>'3. Data_Input_Sheet'!U64</f>
        <v>8.6599999999999996E-2</v>
      </c>
    </row>
    <row r="30" spans="1:9" x14ac:dyDescent="0.2">
      <c r="A30" t="str">
        <f>'1. Info'!$G$16</f>
        <v>Milton Hydro Distribution Inc.</v>
      </c>
      <c r="B30" t="str">
        <f>'1. Info'!$G$20</f>
        <v>EB-2022-0049</v>
      </c>
      <c r="C30">
        <f>'1. Info'!$G$28</f>
        <v>2023</v>
      </c>
      <c r="D30">
        <f>'1. Info'!$G$30</f>
        <v>2022</v>
      </c>
      <c r="E30">
        <f>'1. Info'!$G$32</f>
        <v>2016</v>
      </c>
      <c r="F30" s="723" t="s">
        <v>444</v>
      </c>
      <c r="G30" s="443" t="s">
        <v>89</v>
      </c>
      <c r="H30" s="725">
        <f>'3. Data_Input_Sheet'!E65</f>
        <v>0</v>
      </c>
      <c r="I30" s="725">
        <f>'3. Data_Input_Sheet'!U65</f>
        <v>0</v>
      </c>
    </row>
  </sheetData>
  <sheetProtection algorithmName="SHA-512" hashValue="4YrwNiRT/RI0/4OUqJ1aFjyVOAVbLcjRIyi/QpbkWYP4IIA5K7d/sbIcPOYdKbjMiEmxGGVUW7vkCdz5QIVqfA==" saltValue="OYfKKZLzXMfL2I9WlFGjnQ=="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92D050"/>
    <pageSetUpPr fitToPage="1"/>
  </sheetPr>
  <dimension ref="B1:AB42"/>
  <sheetViews>
    <sheetView showGridLines="0" view="pageBreakPreview" zoomScaleNormal="100" zoomScaleSheetLayoutView="100" workbookViewId="0">
      <selection activeCell="J29" sqref="J29"/>
    </sheetView>
  </sheetViews>
  <sheetFormatPr defaultColWidth="9.140625" defaultRowHeight="12.75" x14ac:dyDescent="0.2"/>
  <cols>
    <col min="1" max="1" width="2.7109375" style="5" customWidth="1"/>
    <col min="2" max="2" width="5.28515625" style="5" customWidth="1"/>
    <col min="3" max="3" width="5.7109375" style="5" customWidth="1"/>
    <col min="4" max="4" width="31.140625" style="5" customWidth="1"/>
    <col min="5" max="5" width="3.7109375" style="5" customWidth="1"/>
    <col min="6" max="6" width="1.28515625" style="5" customWidth="1"/>
    <col min="7" max="7" width="14.42578125" style="5" customWidth="1"/>
    <col min="8" max="8" width="1.140625" style="5" customWidth="1"/>
    <col min="9" max="9" width="3.42578125" style="5" customWidth="1"/>
    <col min="10" max="10" width="1.140625" style="5" customWidth="1"/>
    <col min="11" max="11" width="12.140625" style="5" customWidth="1"/>
    <col min="12" max="12" width="1.140625" style="5" customWidth="1"/>
    <col min="13" max="13" width="3.42578125" style="5" customWidth="1"/>
    <col min="14" max="14" width="1.140625" style="5" customWidth="1"/>
    <col min="15" max="15" width="14.5703125" style="5" customWidth="1"/>
    <col min="16" max="16" width="1.42578125" style="5" customWidth="1"/>
    <col min="17" max="17" width="3.42578125" style="5" customWidth="1"/>
    <col min="18" max="18" width="1.140625" style="5" customWidth="1"/>
    <col min="19" max="19" width="12" style="5" customWidth="1"/>
    <col min="20" max="20" width="1.140625" style="5" customWidth="1"/>
    <col min="21" max="21" width="3.42578125" style="5" customWidth="1"/>
    <col min="22" max="22" width="1.140625" style="5" customWidth="1"/>
    <col min="23" max="23" width="14.7109375" style="5" customWidth="1"/>
    <col min="24" max="24" width="2.85546875" style="5" customWidth="1"/>
    <col min="25" max="16384" width="9.140625" style="5"/>
  </cols>
  <sheetData>
    <row r="1" spans="2:28" s="2" customFormat="1" ht="36.75" customHeight="1" x14ac:dyDescent="0.2">
      <c r="C1" s="795"/>
      <c r="D1" s="795"/>
      <c r="E1" s="795"/>
      <c r="F1" s="795"/>
      <c r="G1" s="795"/>
      <c r="H1" s="795"/>
      <c r="I1" s="795"/>
      <c r="J1" s="795"/>
      <c r="K1" s="795"/>
      <c r="L1" s="137"/>
      <c r="W1" s="143"/>
    </row>
    <row r="2" spans="2:28" s="2" customFormat="1" ht="36.75" customHeight="1" x14ac:dyDescent="0.25">
      <c r="C2" s="778"/>
      <c r="D2" s="778"/>
      <c r="E2" s="778"/>
      <c r="F2" s="778"/>
      <c r="G2" s="778"/>
      <c r="H2" s="778"/>
      <c r="I2" s="778"/>
      <c r="J2" s="778"/>
      <c r="K2" s="778"/>
      <c r="L2" s="778"/>
      <c r="M2" s="778"/>
      <c r="N2" s="778"/>
      <c r="O2" s="778"/>
      <c r="P2" s="778"/>
      <c r="Q2" s="778"/>
      <c r="R2" s="778"/>
      <c r="S2" s="778"/>
      <c r="T2" s="778"/>
      <c r="U2" s="778"/>
      <c r="V2" s="778"/>
      <c r="W2" s="778"/>
    </row>
    <row r="3" spans="2:28" s="2" customFormat="1" ht="36.75" customHeight="1" x14ac:dyDescent="0.25">
      <c r="C3" s="778"/>
      <c r="D3" s="778"/>
      <c r="E3" s="778"/>
      <c r="F3" s="778"/>
      <c r="G3" s="778"/>
      <c r="H3" s="35"/>
      <c r="I3" s="32"/>
      <c r="J3" s="32"/>
      <c r="K3" s="32"/>
      <c r="L3" s="32"/>
    </row>
    <row r="4" spans="2:28" s="2" customFormat="1" ht="36.75" customHeight="1" x14ac:dyDescent="0.25">
      <c r="C4" s="778"/>
      <c r="D4" s="778"/>
      <c r="E4" s="778"/>
      <c r="F4" s="778"/>
      <c r="G4" s="778"/>
      <c r="H4" s="35"/>
      <c r="I4" s="32"/>
      <c r="J4" s="32"/>
      <c r="K4" s="32"/>
      <c r="L4" s="32"/>
    </row>
    <row r="5" spans="2:28" s="2" customFormat="1" ht="15.75" x14ac:dyDescent="0.25">
      <c r="E5" s="3"/>
      <c r="F5" s="3"/>
    </row>
    <row r="6" spans="2:28" s="2" customFormat="1" ht="18" x14ac:dyDescent="0.25">
      <c r="B6" s="371" t="s">
        <v>227</v>
      </c>
    </row>
    <row r="9" spans="2:28" ht="15.75" x14ac:dyDescent="0.25">
      <c r="G9" s="57"/>
      <c r="H9" s="57"/>
      <c r="I9" s="57"/>
      <c r="J9" s="57"/>
      <c r="K9" s="57"/>
      <c r="L9" s="57"/>
      <c r="M9" s="57"/>
      <c r="N9" s="57"/>
      <c r="O9" s="57"/>
      <c r="P9" s="57"/>
      <c r="Q9" s="57"/>
      <c r="R9" s="57"/>
      <c r="S9" s="57"/>
      <c r="T9" s="57"/>
      <c r="U9" s="57"/>
      <c r="V9" s="57"/>
      <c r="W9" s="57"/>
    </row>
    <row r="10" spans="2:28" ht="18" x14ac:dyDescent="0.25">
      <c r="D10" s="368" t="s">
        <v>7</v>
      </c>
      <c r="F10" s="126"/>
      <c r="G10" s="126"/>
      <c r="H10" s="126"/>
      <c r="I10" s="126"/>
      <c r="J10" s="126"/>
      <c r="K10" s="126"/>
      <c r="L10" s="126"/>
      <c r="M10" s="126"/>
      <c r="N10" s="126"/>
      <c r="O10" s="126"/>
      <c r="P10" s="126"/>
      <c r="Q10" s="126"/>
      <c r="R10" s="126"/>
      <c r="S10" s="126"/>
      <c r="T10" s="126"/>
      <c r="U10" s="126"/>
      <c r="V10" s="126"/>
      <c r="W10" s="126"/>
    </row>
    <row r="11" spans="2:28" ht="25.5" x14ac:dyDescent="0.2">
      <c r="B11" s="40" t="s">
        <v>37</v>
      </c>
      <c r="C11" s="27"/>
      <c r="D11" s="41" t="s">
        <v>36</v>
      </c>
      <c r="E11" s="65"/>
      <c r="F11" s="33"/>
      <c r="G11" s="293" t="s">
        <v>155</v>
      </c>
      <c r="H11" s="68"/>
      <c r="I11" s="296"/>
      <c r="J11" s="296"/>
      <c r="K11" s="68" t="str">
        <f>IF(ISBLANK('3. Data_Input_Sheet'!M12),"",'3. Data_Input_Sheet'!I12)</f>
        <v/>
      </c>
      <c r="L11" s="68"/>
      <c r="M11" s="296"/>
      <c r="N11" s="296"/>
      <c r="O11" s="164" t="str">
        <f>IF(ISBLANK('3. Data_Input_Sheet'!M12)," ",'3. Data_Input_Sheet'!M12)</f>
        <v xml:space="preserve"> </v>
      </c>
      <c r="P11" s="296"/>
      <c r="Q11" s="296"/>
      <c r="R11" s="296"/>
      <c r="S11" s="68" t="str">
        <f>IF(ISBLANK('3. Data_Input_Sheet'!Q12),"",'3. Data_Input_Sheet'!Q12)</f>
        <v/>
      </c>
      <c r="T11" s="296"/>
      <c r="U11" s="296"/>
      <c r="V11" s="296"/>
      <c r="W11" s="293" t="str">
        <f>'3. Data_Input_Sheet'!U12</f>
        <v>Per Board Decision</v>
      </c>
    </row>
    <row r="12" spans="2:28" x14ac:dyDescent="0.2">
      <c r="F12" s="33"/>
      <c r="G12" s="33"/>
      <c r="H12" s="33"/>
      <c r="I12" s="33"/>
      <c r="J12" s="33"/>
      <c r="K12" s="33"/>
      <c r="L12" s="33"/>
      <c r="M12" s="33"/>
      <c r="N12" s="33"/>
      <c r="O12" s="33"/>
      <c r="P12" s="33"/>
      <c r="Q12" s="33"/>
      <c r="R12" s="33"/>
      <c r="S12" s="33"/>
      <c r="T12" s="33"/>
      <c r="U12" s="33"/>
      <c r="V12" s="33"/>
      <c r="W12" s="33"/>
    </row>
    <row r="13" spans="2:28" ht="14.25" x14ac:dyDescent="0.2">
      <c r="B13" s="4">
        <v>1</v>
      </c>
      <c r="D13" s="5" t="s">
        <v>102</v>
      </c>
      <c r="E13" s="475" t="s">
        <v>3</v>
      </c>
      <c r="F13" s="33"/>
      <c r="G13" s="99">
        <f>'3. Data_Input_Sheet'!E16</f>
        <v>187041882.32480004</v>
      </c>
      <c r="H13" s="99"/>
      <c r="I13" s="353"/>
      <c r="J13" s="175"/>
      <c r="K13" s="99">
        <f>'3. Data_Input_Sheet'!I16</f>
        <v>0</v>
      </c>
      <c r="L13" s="99"/>
      <c r="M13" s="353"/>
      <c r="N13" s="175"/>
      <c r="O13" s="99">
        <f>G13+K13</f>
        <v>187041882.32480004</v>
      </c>
      <c r="P13" s="175"/>
      <c r="Q13" s="353"/>
      <c r="R13" s="175"/>
      <c r="S13" s="99">
        <f>'3. Data_Input_Sheet'!Q16</f>
        <v>0</v>
      </c>
      <c r="T13" s="175"/>
      <c r="U13" s="353"/>
      <c r="V13" s="175"/>
      <c r="W13" s="99">
        <f>G13+K13+S13</f>
        <v>187041882.32480004</v>
      </c>
      <c r="Z13" s="52"/>
      <c r="AA13" s="52"/>
      <c r="AB13" s="52"/>
    </row>
    <row r="14" spans="2:28" ht="14.25" x14ac:dyDescent="0.2">
      <c r="B14" s="4">
        <v>2</v>
      </c>
      <c r="D14" s="5" t="s">
        <v>103</v>
      </c>
      <c r="E14" s="475" t="s">
        <v>3</v>
      </c>
      <c r="F14" s="33"/>
      <c r="G14" s="101">
        <f>'3. Data_Input_Sheet'!E17</f>
        <v>-82017554.507335305</v>
      </c>
      <c r="H14" s="99"/>
      <c r="I14" s="353"/>
      <c r="J14" s="175"/>
      <c r="K14" s="101">
        <f>'3. Data_Input_Sheet'!I17</f>
        <v>0</v>
      </c>
      <c r="L14" s="99"/>
      <c r="M14" s="353"/>
      <c r="N14" s="175"/>
      <c r="O14" s="101">
        <f>G14+K14</f>
        <v>-82017554.507335305</v>
      </c>
      <c r="P14" s="175"/>
      <c r="Q14" s="353"/>
      <c r="R14" s="175"/>
      <c r="S14" s="101">
        <f>'3. Data_Input_Sheet'!Q17</f>
        <v>0</v>
      </c>
      <c r="T14" s="175"/>
      <c r="U14" s="353"/>
      <c r="V14" s="175"/>
      <c r="W14" s="101">
        <f>G14+K14+S14</f>
        <v>-82017554.507335305</v>
      </c>
    </row>
    <row r="15" spans="2:28" ht="14.25" x14ac:dyDescent="0.2">
      <c r="B15" s="4">
        <v>3</v>
      </c>
      <c r="D15" s="59" t="s">
        <v>104</v>
      </c>
      <c r="E15" s="475" t="s">
        <v>3</v>
      </c>
      <c r="F15" s="33"/>
      <c r="G15" s="46">
        <f>SUM(G13:G14)</f>
        <v>105024327.81746474</v>
      </c>
      <c r="H15" s="46"/>
      <c r="I15" s="127"/>
      <c r="J15" s="127"/>
      <c r="K15" s="46">
        <f>SUM(K13:K14)</f>
        <v>0</v>
      </c>
      <c r="L15" s="46"/>
      <c r="M15" s="127"/>
      <c r="N15" s="127"/>
      <c r="O15" s="46">
        <f>SUM(O13:O14)</f>
        <v>105024327.81746474</v>
      </c>
      <c r="P15" s="127"/>
      <c r="Q15" s="127"/>
      <c r="R15" s="127"/>
      <c r="S15" s="46">
        <f>SUM(S13:S14)</f>
        <v>0</v>
      </c>
      <c r="T15" s="127"/>
      <c r="U15" s="127"/>
      <c r="V15" s="127"/>
      <c r="W15" s="46">
        <f>SUM(W13:W14)</f>
        <v>105024327.81746474</v>
      </c>
    </row>
    <row r="16" spans="2:28" x14ac:dyDescent="0.2">
      <c r="B16" s="4"/>
      <c r="E16" s="4"/>
      <c r="F16" s="33"/>
      <c r="G16" s="46"/>
      <c r="H16" s="46"/>
      <c r="I16" s="127"/>
      <c r="J16" s="127"/>
      <c r="K16" s="46"/>
      <c r="L16" s="46"/>
      <c r="M16" s="127"/>
      <c r="N16" s="127"/>
      <c r="O16" s="46"/>
      <c r="P16" s="127"/>
      <c r="Q16" s="127"/>
      <c r="R16" s="127"/>
      <c r="S16" s="46"/>
      <c r="T16" s="127"/>
      <c r="U16" s="127"/>
      <c r="V16" s="127"/>
      <c r="W16" s="46"/>
    </row>
    <row r="17" spans="2:26" ht="14.25" x14ac:dyDescent="0.2">
      <c r="B17" s="4">
        <v>4</v>
      </c>
      <c r="D17" s="125" t="s">
        <v>58</v>
      </c>
      <c r="E17" s="480" t="s">
        <v>2</v>
      </c>
      <c r="F17" s="33"/>
      <c r="G17" s="53">
        <f>G30</f>
        <v>8556690.8473435845</v>
      </c>
      <c r="H17" s="46"/>
      <c r="I17" s="127"/>
      <c r="J17" s="127"/>
      <c r="K17" s="53">
        <f>K30</f>
        <v>0</v>
      </c>
      <c r="L17" s="46"/>
      <c r="M17" s="127"/>
      <c r="N17" s="127"/>
      <c r="O17" s="53">
        <f>O30</f>
        <v>8556690.8473435845</v>
      </c>
      <c r="P17" s="127"/>
      <c r="Q17" s="127"/>
      <c r="R17" s="127"/>
      <c r="S17" s="53">
        <f>S30</f>
        <v>0</v>
      </c>
      <c r="T17" s="127"/>
      <c r="U17" s="127"/>
      <c r="V17" s="127"/>
      <c r="W17" s="53">
        <f>W30</f>
        <v>8556690.8473435845</v>
      </c>
    </row>
    <row r="18" spans="2:26" x14ac:dyDescent="0.2">
      <c r="B18" s="4"/>
      <c r="D18" s="799" t="s">
        <v>1</v>
      </c>
      <c r="E18" s="36"/>
      <c r="F18" s="69"/>
      <c r="G18" s="797">
        <f>G17+G15</f>
        <v>113581018.66480832</v>
      </c>
      <c r="H18" s="48"/>
      <c r="I18" s="127"/>
      <c r="J18" s="127"/>
      <c r="K18" s="797">
        <f>K17+K15</f>
        <v>0</v>
      </c>
      <c r="L18" s="48"/>
      <c r="M18" s="127"/>
      <c r="N18" s="127"/>
      <c r="O18" s="797">
        <f>O17+O15</f>
        <v>113581018.66480832</v>
      </c>
      <c r="P18" s="127"/>
      <c r="Q18" s="127"/>
      <c r="R18" s="127"/>
      <c r="S18" s="797">
        <f>S17+S15</f>
        <v>0</v>
      </c>
      <c r="T18" s="127"/>
      <c r="U18" s="127"/>
      <c r="V18" s="127"/>
      <c r="W18" s="797">
        <f>W15+W17</f>
        <v>113581018.66480832</v>
      </c>
    </row>
    <row r="19" spans="2:26" ht="13.5" thickBot="1" x14ac:dyDescent="0.25">
      <c r="B19" s="4">
        <v>5</v>
      </c>
      <c r="D19" s="800"/>
      <c r="E19" s="36"/>
      <c r="F19" s="69"/>
      <c r="G19" s="798"/>
      <c r="H19" s="48"/>
      <c r="I19" s="100"/>
      <c r="J19" s="100"/>
      <c r="K19" s="798"/>
      <c r="L19" s="48"/>
      <c r="M19" s="100"/>
      <c r="N19" s="100"/>
      <c r="O19" s="798"/>
      <c r="P19" s="100"/>
      <c r="Q19" s="100"/>
      <c r="R19" s="100"/>
      <c r="S19" s="798"/>
      <c r="T19" s="100"/>
      <c r="U19" s="100"/>
      <c r="V19" s="100"/>
      <c r="W19" s="798"/>
    </row>
    <row r="20" spans="2:26" ht="56.25" customHeight="1" thickTop="1" x14ac:dyDescent="0.25">
      <c r="B20" s="4"/>
      <c r="C20" s="292" t="s">
        <v>2</v>
      </c>
      <c r="D20" s="370" t="s">
        <v>236</v>
      </c>
    </row>
    <row r="21" spans="2:26" x14ac:dyDescent="0.2">
      <c r="B21" s="65"/>
      <c r="C21" s="33"/>
      <c r="D21" s="33"/>
      <c r="E21" s="33"/>
      <c r="F21" s="33"/>
      <c r="G21" s="33"/>
      <c r="H21" s="33"/>
      <c r="I21" s="33"/>
      <c r="J21" s="33"/>
      <c r="K21" s="33"/>
      <c r="L21" s="33"/>
      <c r="M21" s="33"/>
      <c r="N21" s="33"/>
      <c r="O21" s="33"/>
      <c r="P21" s="33"/>
      <c r="Q21" s="33"/>
      <c r="R21" s="33"/>
      <c r="S21" s="33"/>
      <c r="T21" s="33"/>
      <c r="U21" s="33"/>
      <c r="V21" s="33"/>
      <c r="W21" s="33"/>
      <c r="X21" s="33"/>
    </row>
    <row r="22" spans="2:26" x14ac:dyDescent="0.2">
      <c r="B22" s="69"/>
      <c r="C22" s="292"/>
      <c r="D22" s="801"/>
      <c r="E22" s="802"/>
      <c r="F22" s="802"/>
      <c r="G22" s="802"/>
      <c r="H22" s="802"/>
      <c r="I22" s="802"/>
      <c r="J22" s="802"/>
      <c r="K22" s="802"/>
      <c r="L22" s="802"/>
      <c r="M22" s="802"/>
      <c r="N22" s="802"/>
      <c r="O22" s="802"/>
      <c r="P22" s="802"/>
      <c r="Q22" s="802"/>
      <c r="R22" s="802"/>
      <c r="S22" s="802"/>
      <c r="T22" s="802"/>
      <c r="U22" s="802"/>
      <c r="V22" s="802"/>
      <c r="W22" s="802"/>
      <c r="X22" s="128"/>
      <c r="Y22" s="15"/>
      <c r="Z22" s="15"/>
    </row>
    <row r="23" spans="2:26" x14ac:dyDescent="0.2">
      <c r="B23" s="69"/>
      <c r="C23" s="88"/>
      <c r="D23" s="129"/>
      <c r="E23" s="88"/>
      <c r="F23" s="88"/>
      <c r="G23" s="88"/>
      <c r="H23" s="88"/>
      <c r="I23" s="88"/>
      <c r="J23" s="88"/>
      <c r="K23" s="88"/>
      <c r="L23" s="88"/>
      <c r="M23" s="88"/>
      <c r="N23" s="88"/>
      <c r="O23" s="88"/>
      <c r="P23" s="88"/>
      <c r="Q23" s="88"/>
      <c r="R23" s="88"/>
      <c r="S23" s="88"/>
      <c r="T23" s="88"/>
      <c r="U23" s="88"/>
      <c r="V23" s="88"/>
      <c r="W23" s="130"/>
      <c r="X23" s="88"/>
      <c r="Y23" s="15"/>
      <c r="Z23" s="15"/>
    </row>
    <row r="24" spans="2:26" x14ac:dyDescent="0.2">
      <c r="B24" s="65">
        <v>6</v>
      </c>
      <c r="C24" s="33"/>
      <c r="D24" s="64" t="s">
        <v>9</v>
      </c>
      <c r="E24" s="33"/>
      <c r="F24" s="33"/>
      <c r="G24" s="99">
        <f>'3. Data_Input_Sheet'!E19</f>
        <v>15133537.498750471</v>
      </c>
      <c r="H24" s="99"/>
      <c r="I24" s="353"/>
      <c r="J24" s="175"/>
      <c r="K24" s="99">
        <f>'3. Data_Input_Sheet'!I19</f>
        <v>0</v>
      </c>
      <c r="L24" s="99"/>
      <c r="M24" s="353"/>
      <c r="N24" s="175"/>
      <c r="O24" s="99">
        <f>G24+K24</f>
        <v>15133537.498750471</v>
      </c>
      <c r="P24" s="175"/>
      <c r="Q24" s="353"/>
      <c r="R24" s="175"/>
      <c r="S24" s="99">
        <f>'3. Data_Input_Sheet'!Q19</f>
        <v>0</v>
      </c>
      <c r="T24" s="175"/>
      <c r="U24" s="353"/>
      <c r="V24" s="175"/>
      <c r="W24" s="123">
        <f>G24+K24+S24</f>
        <v>15133537.498750471</v>
      </c>
      <c r="X24" s="33"/>
    </row>
    <row r="25" spans="2:26" x14ac:dyDescent="0.2">
      <c r="B25" s="65">
        <v>7</v>
      </c>
      <c r="C25" s="33"/>
      <c r="D25" s="124" t="s">
        <v>5</v>
      </c>
      <c r="E25" s="33"/>
      <c r="F25" s="33"/>
      <c r="G25" s="101">
        <f>'3. Data_Input_Sheet'!E20</f>
        <v>98955673.799163997</v>
      </c>
      <c r="H25" s="99"/>
      <c r="I25" s="353"/>
      <c r="J25" s="175"/>
      <c r="K25" s="101">
        <f>'3. Data_Input_Sheet'!I20</f>
        <v>0</v>
      </c>
      <c r="L25" s="99"/>
      <c r="M25" s="353"/>
      <c r="N25" s="175"/>
      <c r="O25" s="101">
        <f>G25+K25</f>
        <v>98955673.799163997</v>
      </c>
      <c r="P25" s="175"/>
      <c r="Q25" s="353"/>
      <c r="R25" s="175"/>
      <c r="S25" s="101">
        <f>'3. Data_Input_Sheet'!Q20</f>
        <v>0</v>
      </c>
      <c r="T25" s="175"/>
      <c r="U25" s="353"/>
      <c r="V25" s="175"/>
      <c r="W25" s="131">
        <f>G25+K25+S25</f>
        <v>98955673.799163997</v>
      </c>
      <c r="X25" s="33"/>
    </row>
    <row r="26" spans="2:26" x14ac:dyDescent="0.2">
      <c r="B26" s="65">
        <v>8</v>
      </c>
      <c r="C26" s="33"/>
      <c r="D26" s="64" t="s">
        <v>10</v>
      </c>
      <c r="E26" s="33"/>
      <c r="F26" s="33"/>
      <c r="G26" s="46">
        <f>SUM(G24:G25)</f>
        <v>114089211.29791448</v>
      </c>
      <c r="H26" s="46"/>
      <c r="I26" s="127"/>
      <c r="J26" s="152"/>
      <c r="K26" s="46">
        <f>K24+K25</f>
        <v>0</v>
      </c>
      <c r="L26" s="46"/>
      <c r="M26" s="127"/>
      <c r="N26" s="127"/>
      <c r="O26" s="46">
        <f>SUM(O24:O25)</f>
        <v>114089211.29791448</v>
      </c>
      <c r="P26" s="127"/>
      <c r="Q26" s="127"/>
      <c r="R26" s="127"/>
      <c r="S26" s="46">
        <f>S24+S25</f>
        <v>0</v>
      </c>
      <c r="T26" s="127"/>
      <c r="U26" s="127"/>
      <c r="V26" s="127"/>
      <c r="W26" s="67">
        <f>SUM(W24:W25)</f>
        <v>114089211.29791448</v>
      </c>
      <c r="X26" s="33"/>
    </row>
    <row r="27" spans="2:26" x14ac:dyDescent="0.2">
      <c r="B27" s="65"/>
      <c r="C27" s="33"/>
      <c r="D27" s="64"/>
      <c r="E27" s="33"/>
      <c r="F27" s="33"/>
      <c r="G27" s="33"/>
      <c r="H27" s="33"/>
      <c r="I27" s="33"/>
      <c r="J27" s="29"/>
      <c r="K27" s="33"/>
      <c r="L27" s="33"/>
      <c r="M27" s="33"/>
      <c r="N27" s="33"/>
      <c r="O27" s="33"/>
      <c r="P27" s="33"/>
      <c r="Q27" s="33"/>
      <c r="R27" s="33"/>
      <c r="S27" s="33"/>
      <c r="T27" s="33"/>
      <c r="U27" s="33"/>
      <c r="V27" s="33"/>
      <c r="W27" s="34"/>
      <c r="X27" s="33"/>
    </row>
    <row r="28" spans="2:26" ht="14.25" x14ac:dyDescent="0.2">
      <c r="B28" s="72">
        <v>9</v>
      </c>
      <c r="C28" s="29"/>
      <c r="D28" s="64" t="s">
        <v>82</v>
      </c>
      <c r="E28" s="481" t="s">
        <v>2</v>
      </c>
      <c r="F28" s="33"/>
      <c r="G28" s="79">
        <f>'3. Data_Input_Sheet'!E21</f>
        <v>7.4999999999999997E-2</v>
      </c>
      <c r="H28" s="79"/>
      <c r="I28" s="353"/>
      <c r="J28" s="175"/>
      <c r="K28" s="87">
        <f>O28-G28</f>
        <v>0</v>
      </c>
      <c r="L28" s="87"/>
      <c r="M28" s="353"/>
      <c r="N28" s="87"/>
      <c r="O28" s="79">
        <f>'3. Data_Input_Sheet'!M21</f>
        <v>7.4999999999999997E-2</v>
      </c>
      <c r="P28" s="87"/>
      <c r="Q28" s="353"/>
      <c r="R28" s="87"/>
      <c r="S28" s="87">
        <f>W28-O28</f>
        <v>0</v>
      </c>
      <c r="T28" s="87"/>
      <c r="U28" s="353"/>
      <c r="V28" s="87"/>
      <c r="W28" s="132">
        <f>'3. Data_Input_Sheet'!U21</f>
        <v>7.4999999999999997E-2</v>
      </c>
      <c r="X28" s="33"/>
    </row>
    <row r="29" spans="2:26" ht="13.5" thickBot="1" x14ac:dyDescent="0.25">
      <c r="B29" s="65"/>
      <c r="C29" s="33"/>
      <c r="D29" s="64"/>
      <c r="E29" s="33"/>
      <c r="F29" s="33"/>
      <c r="G29" s="133"/>
      <c r="H29" s="33"/>
      <c r="I29" s="33"/>
      <c r="J29" s="33"/>
      <c r="K29" s="133"/>
      <c r="L29" s="33"/>
      <c r="M29" s="33"/>
      <c r="N29" s="33"/>
      <c r="O29" s="133"/>
      <c r="P29" s="33"/>
      <c r="Q29" s="33"/>
      <c r="R29" s="33"/>
      <c r="S29" s="133"/>
      <c r="T29" s="33"/>
      <c r="U29" s="33"/>
      <c r="V29" s="33"/>
      <c r="W29" s="134"/>
      <c r="X29" s="33"/>
    </row>
    <row r="30" spans="2:26" ht="13.5" thickTop="1" x14ac:dyDescent="0.2">
      <c r="B30" s="72">
        <v>10</v>
      </c>
      <c r="C30" s="29"/>
      <c r="D30" s="124" t="s">
        <v>0</v>
      </c>
      <c r="E30" s="125"/>
      <c r="F30" s="125"/>
      <c r="G30" s="101">
        <f>G26*G28</f>
        <v>8556690.8473435845</v>
      </c>
      <c r="H30" s="101"/>
      <c r="I30" s="101"/>
      <c r="J30" s="101"/>
      <c r="K30" s="101">
        <f>O30-G30</f>
        <v>0</v>
      </c>
      <c r="L30" s="101"/>
      <c r="M30" s="101"/>
      <c r="N30" s="101"/>
      <c r="O30" s="101">
        <f>O26*O28</f>
        <v>8556690.8473435845</v>
      </c>
      <c r="P30" s="101"/>
      <c r="Q30" s="101"/>
      <c r="R30" s="101"/>
      <c r="S30" s="101">
        <f>W30-O30</f>
        <v>0</v>
      </c>
      <c r="T30" s="101"/>
      <c r="U30" s="101"/>
      <c r="V30" s="101"/>
      <c r="W30" s="131">
        <f>W26*W28</f>
        <v>8556690.8473435845</v>
      </c>
      <c r="X30" s="33"/>
    </row>
    <row r="31" spans="2:26" ht="5.25" customHeight="1" x14ac:dyDescent="0.2">
      <c r="B31" s="33"/>
      <c r="C31" s="33"/>
      <c r="D31" s="33"/>
      <c r="E31" s="33"/>
      <c r="F31" s="33"/>
      <c r="G31" s="33"/>
      <c r="H31" s="33"/>
      <c r="I31" s="33"/>
      <c r="J31" s="33"/>
      <c r="K31" s="33"/>
      <c r="L31" s="33"/>
      <c r="M31" s="33"/>
      <c r="N31" s="33"/>
      <c r="O31" s="33"/>
      <c r="P31" s="33"/>
      <c r="Q31" s="33"/>
      <c r="R31" s="33"/>
      <c r="S31" s="33"/>
      <c r="T31" s="33"/>
      <c r="U31" s="33"/>
      <c r="V31" s="33"/>
      <c r="W31" s="33"/>
      <c r="X31" s="33"/>
    </row>
    <row r="32" spans="2:26" ht="6.75" customHeight="1" x14ac:dyDescent="0.2"/>
    <row r="33" spans="2:23" x14ac:dyDescent="0.2">
      <c r="B33" s="796" t="s">
        <v>38</v>
      </c>
      <c r="C33" s="796"/>
      <c r="D33" s="796"/>
      <c r="E33" s="796"/>
      <c r="F33" s="796"/>
      <c r="G33" s="796"/>
      <c r="H33" s="796"/>
      <c r="I33" s="796"/>
      <c r="J33" s="796"/>
      <c r="K33" s="796"/>
      <c r="L33" s="796"/>
      <c r="M33" s="796"/>
      <c r="N33" s="796"/>
      <c r="O33" s="796"/>
      <c r="P33" s="796"/>
      <c r="Q33" s="796"/>
      <c r="R33" s="796"/>
      <c r="S33" s="796"/>
      <c r="T33" s="796"/>
      <c r="U33" s="796"/>
      <c r="V33" s="796"/>
      <c r="W33" s="796"/>
    </row>
    <row r="34" spans="2:23" ht="26.25" customHeight="1" x14ac:dyDescent="0.2">
      <c r="B34" s="482" t="s">
        <v>2</v>
      </c>
      <c r="D34" s="793" t="s">
        <v>476</v>
      </c>
      <c r="E34" s="793"/>
      <c r="F34" s="793"/>
      <c r="G34" s="793"/>
      <c r="H34" s="793"/>
      <c r="I34" s="793"/>
      <c r="J34" s="793"/>
      <c r="K34" s="793"/>
      <c r="L34" s="793"/>
      <c r="M34" s="793"/>
      <c r="N34" s="793"/>
      <c r="O34" s="793"/>
      <c r="P34" s="793"/>
      <c r="Q34" s="793"/>
      <c r="R34" s="793"/>
      <c r="S34" s="793"/>
      <c r="T34" s="793"/>
      <c r="U34" s="793"/>
      <c r="V34" s="793"/>
      <c r="W34" s="793"/>
    </row>
    <row r="35" spans="2:23" ht="14.25" x14ac:dyDescent="0.2">
      <c r="B35" s="483" t="s">
        <v>3</v>
      </c>
      <c r="C35" s="25"/>
      <c r="D35" s="777" t="s">
        <v>133</v>
      </c>
      <c r="E35" s="777"/>
      <c r="F35" s="777"/>
      <c r="G35" s="777"/>
      <c r="H35" s="777"/>
      <c r="I35" s="777"/>
      <c r="J35" s="777"/>
      <c r="K35" s="777"/>
      <c r="L35" s="777"/>
      <c r="M35" s="777"/>
      <c r="N35" s="777"/>
      <c r="O35" s="777"/>
      <c r="P35" s="777"/>
      <c r="Q35" s="777"/>
      <c r="R35" s="777"/>
      <c r="S35" s="777"/>
      <c r="T35" s="777"/>
      <c r="U35" s="777"/>
      <c r="V35" s="777"/>
      <c r="W35" s="777"/>
    </row>
    <row r="36" spans="2:23" x14ac:dyDescent="0.2">
      <c r="B36" s="353"/>
      <c r="D36" s="794"/>
      <c r="E36" s="794"/>
      <c r="F36" s="794"/>
      <c r="G36" s="794"/>
      <c r="H36" s="794"/>
      <c r="I36" s="794"/>
      <c r="J36" s="794"/>
      <c r="K36" s="794"/>
      <c r="L36" s="794"/>
      <c r="M36" s="794"/>
      <c r="N36" s="794"/>
      <c r="O36" s="794"/>
      <c r="P36" s="794"/>
      <c r="Q36" s="794"/>
      <c r="R36" s="794"/>
      <c r="S36" s="794"/>
      <c r="T36" s="794"/>
      <c r="U36" s="794"/>
      <c r="V36" s="794"/>
      <c r="W36" s="794"/>
    </row>
    <row r="37" spans="2:23" x14ac:dyDescent="0.2">
      <c r="B37" s="353"/>
      <c r="D37" s="794"/>
      <c r="E37" s="794"/>
      <c r="F37" s="794"/>
      <c r="G37" s="794"/>
      <c r="H37" s="794"/>
      <c r="I37" s="794"/>
      <c r="J37" s="794"/>
      <c r="K37" s="794"/>
      <c r="L37" s="794"/>
      <c r="M37" s="794"/>
      <c r="N37" s="794"/>
      <c r="O37" s="794"/>
      <c r="P37" s="794"/>
      <c r="Q37" s="794"/>
      <c r="R37" s="794"/>
      <c r="S37" s="794"/>
      <c r="T37" s="794"/>
      <c r="U37" s="794"/>
      <c r="V37" s="794"/>
      <c r="W37" s="794"/>
    </row>
    <row r="38" spans="2:23" x14ac:dyDescent="0.2">
      <c r="B38" s="353"/>
      <c r="D38" s="794"/>
      <c r="E38" s="794"/>
      <c r="F38" s="794"/>
      <c r="G38" s="794"/>
      <c r="H38" s="794"/>
      <c r="I38" s="794"/>
      <c r="J38" s="794"/>
      <c r="K38" s="794"/>
      <c r="L38" s="794"/>
      <c r="M38" s="794"/>
      <c r="N38" s="794"/>
      <c r="O38" s="794"/>
      <c r="P38" s="794"/>
      <c r="Q38" s="794"/>
      <c r="R38" s="794"/>
      <c r="S38" s="794"/>
      <c r="T38" s="794"/>
      <c r="U38" s="794"/>
      <c r="V38" s="794"/>
      <c r="W38" s="794"/>
    </row>
    <row r="39" spans="2:23" x14ac:dyDescent="0.2">
      <c r="B39" s="353"/>
      <c r="D39" s="794"/>
      <c r="E39" s="794"/>
      <c r="F39" s="794"/>
      <c r="G39" s="794"/>
      <c r="H39" s="794"/>
      <c r="I39" s="794"/>
      <c r="J39" s="794"/>
      <c r="K39" s="794"/>
      <c r="L39" s="794"/>
      <c r="M39" s="794"/>
      <c r="N39" s="794"/>
      <c r="O39" s="794"/>
      <c r="P39" s="794"/>
      <c r="Q39" s="794"/>
      <c r="R39" s="794"/>
      <c r="S39" s="794"/>
      <c r="T39" s="794"/>
      <c r="U39" s="794"/>
      <c r="V39" s="794"/>
      <c r="W39" s="794"/>
    </row>
    <row r="40" spans="2:23" x14ac:dyDescent="0.2">
      <c r="B40" s="353"/>
      <c r="D40" s="794"/>
      <c r="E40" s="794"/>
      <c r="F40" s="794"/>
      <c r="G40" s="794"/>
      <c r="H40" s="794"/>
      <c r="I40" s="794"/>
      <c r="J40" s="794"/>
      <c r="K40" s="794"/>
      <c r="L40" s="794"/>
      <c r="M40" s="794"/>
      <c r="N40" s="794"/>
      <c r="O40" s="794"/>
      <c r="P40" s="794"/>
      <c r="Q40" s="794"/>
      <c r="R40" s="794"/>
      <c r="S40" s="794"/>
      <c r="T40" s="794"/>
      <c r="U40" s="794"/>
      <c r="V40" s="794"/>
      <c r="W40" s="794"/>
    </row>
    <row r="41" spans="2:23" x14ac:dyDescent="0.2">
      <c r="B41" s="353"/>
      <c r="D41" s="794"/>
      <c r="E41" s="794"/>
      <c r="F41" s="794"/>
      <c r="G41" s="794"/>
      <c r="H41" s="794"/>
      <c r="I41" s="794"/>
      <c r="J41" s="794"/>
      <c r="K41" s="794"/>
      <c r="L41" s="794"/>
      <c r="M41" s="794"/>
      <c r="N41" s="794"/>
      <c r="O41" s="794"/>
      <c r="P41" s="794"/>
      <c r="Q41" s="794"/>
      <c r="R41" s="794"/>
      <c r="S41" s="794"/>
      <c r="T41" s="794"/>
      <c r="U41" s="794"/>
      <c r="V41" s="794"/>
      <c r="W41" s="794"/>
    </row>
    <row r="42" spans="2:23" x14ac:dyDescent="0.2">
      <c r="B42" s="353"/>
      <c r="D42" s="794"/>
      <c r="E42" s="794"/>
      <c r="F42" s="794"/>
      <c r="G42" s="794"/>
      <c r="H42" s="794"/>
      <c r="I42" s="794"/>
      <c r="J42" s="794"/>
      <c r="K42" s="794"/>
      <c r="L42" s="794"/>
      <c r="M42" s="794"/>
      <c r="N42" s="794"/>
      <c r="O42" s="794"/>
      <c r="P42" s="794"/>
      <c r="Q42" s="794"/>
      <c r="R42" s="794"/>
      <c r="S42" s="794"/>
      <c r="T42" s="794"/>
      <c r="U42" s="794"/>
      <c r="V42" s="794"/>
      <c r="W42" s="794"/>
    </row>
  </sheetData>
  <sheetProtection algorithmName="SHA-512" hashValue="LUmmCC8zuPV03uimLKo0AluCiEiD/baev4vX1Lr4hHKSKCoYSIisFfUegMUAinF4hQyynKoPE/MLpOmqBto2uA==" saltValue="6AEEfZ5OBjx5TyxBxU+xbQ==" spinCount="100000" sheet="1" objects="1" scenarios="1"/>
  <mergeCells count="21">
    <mergeCell ref="C3:G3"/>
    <mergeCell ref="C4:G4"/>
    <mergeCell ref="C1:K1"/>
    <mergeCell ref="C2:W2"/>
    <mergeCell ref="B33:W33"/>
    <mergeCell ref="G18:G19"/>
    <mergeCell ref="K18:K19"/>
    <mergeCell ref="W18:W19"/>
    <mergeCell ref="D18:D19"/>
    <mergeCell ref="D22:W22"/>
    <mergeCell ref="O18:O19"/>
    <mergeCell ref="S18:S19"/>
    <mergeCell ref="D34:W34"/>
    <mergeCell ref="D35:W35"/>
    <mergeCell ref="D36:W36"/>
    <mergeCell ref="D41:W41"/>
    <mergeCell ref="D42:W42"/>
    <mergeCell ref="D37:W37"/>
    <mergeCell ref="D38:W38"/>
    <mergeCell ref="D39:W39"/>
    <mergeCell ref="D40:W40"/>
  </mergeCells>
  <phoneticPr fontId="2" type="noConversion"/>
  <conditionalFormatting sqref="K11 O11 S11">
    <cfRule type="cellIs" dxfId="72" priority="8" stopIfTrue="1" operator="notEqual">
      <formula>""</formula>
    </cfRule>
  </conditionalFormatting>
  <conditionalFormatting sqref="G28">
    <cfRule type="cellIs" dxfId="71" priority="3" operator="equal">
      <formula>0</formula>
    </cfRule>
    <cfRule type="cellIs" dxfId="70" priority="7" operator="notEqual">
      <formula>0.075</formula>
    </cfRule>
  </conditionalFormatting>
  <conditionalFormatting sqref="O28">
    <cfRule type="cellIs" dxfId="69" priority="2" operator="equal">
      <formula>0</formula>
    </cfRule>
    <cfRule type="cellIs" dxfId="68" priority="5" operator="notEqual">
      <formula>0.075</formula>
    </cfRule>
    <cfRule type="cellIs" priority="6" operator="notEqual">
      <formula>0.075</formula>
    </cfRule>
  </conditionalFormatting>
  <conditionalFormatting sqref="W28">
    <cfRule type="cellIs" dxfId="67" priority="1" operator="equal">
      <formula>0</formula>
    </cfRule>
    <cfRule type="cellIs" dxfId="66" priority="4" operator="notEqual">
      <formula>0.075</formula>
    </cfRule>
  </conditionalFormatting>
  <pageMargins left="0.31496062992125984" right="0.31496062992125984" top="0.74803149606299213" bottom="0.74803149606299213" header="0.31496062992125984" footer="0.31496062992125984"/>
  <pageSetup scale="7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92D050"/>
    <pageSetUpPr fitToPage="1"/>
  </sheetPr>
  <dimension ref="B1:Z57"/>
  <sheetViews>
    <sheetView showGridLines="0" view="pageBreakPreview" topLeftCell="A16" zoomScaleNormal="100" zoomScaleSheetLayoutView="100" workbookViewId="0">
      <selection activeCell="J29" sqref="J29"/>
    </sheetView>
  </sheetViews>
  <sheetFormatPr defaultColWidth="9.140625" defaultRowHeight="12.75" x14ac:dyDescent="0.2"/>
  <cols>
    <col min="1" max="1" width="1.42578125" style="5" customWidth="1"/>
    <col min="2" max="2" width="5.28515625" style="5" customWidth="1"/>
    <col min="3" max="3" width="4.28515625" style="5" customWidth="1"/>
    <col min="4" max="4" width="26.140625" style="5" customWidth="1"/>
    <col min="5" max="5" width="2.7109375" style="5" customWidth="1"/>
    <col min="6" max="6" width="15.42578125" style="5" customWidth="1"/>
    <col min="7" max="7" width="1.7109375" style="5" customWidth="1"/>
    <col min="8" max="8" width="2.85546875" style="5" customWidth="1"/>
    <col min="9" max="9" width="1.7109375" style="5" customWidth="1"/>
    <col min="10" max="10" width="15.140625" style="5" customWidth="1"/>
    <col min="11" max="11" width="1.7109375" style="5" customWidth="1"/>
    <col min="12" max="12" width="2.85546875" style="5" customWidth="1"/>
    <col min="13" max="13" width="1.7109375" style="5" customWidth="1"/>
    <col min="14" max="14" width="15.7109375" style="5" customWidth="1"/>
    <col min="15" max="15" width="1.85546875" style="5" customWidth="1"/>
    <col min="16" max="16" width="2.85546875" style="5" customWidth="1"/>
    <col min="17" max="17" width="1.7109375" style="5" customWidth="1"/>
    <col min="18" max="18" width="14.85546875" style="5" customWidth="1"/>
    <col min="19" max="19" width="1.7109375" style="5" customWidth="1"/>
    <col min="20" max="20" width="2.85546875" style="5" customWidth="1"/>
    <col min="21" max="21" width="1.7109375" style="5" customWidth="1"/>
    <col min="22" max="22" width="15.5703125" style="5" customWidth="1"/>
    <col min="23" max="23" width="1.42578125" style="5" customWidth="1"/>
    <col min="24" max="24" width="11.7109375" style="5" bestFit="1" customWidth="1"/>
    <col min="25" max="16384" width="9.140625" style="5"/>
  </cols>
  <sheetData>
    <row r="1" spans="2:23" s="2" customFormat="1" ht="21.75" x14ac:dyDescent="0.2">
      <c r="C1" s="795"/>
      <c r="D1" s="795"/>
      <c r="E1" s="795"/>
      <c r="F1" s="795"/>
      <c r="G1" s="795"/>
      <c r="H1" s="795"/>
      <c r="I1" s="795"/>
      <c r="J1" s="795"/>
      <c r="K1" s="795"/>
      <c r="L1" s="795"/>
      <c r="M1" s="137"/>
      <c r="N1" s="137"/>
      <c r="O1" s="137"/>
      <c r="P1" s="137"/>
      <c r="Q1" s="137"/>
      <c r="R1" s="137"/>
      <c r="S1" s="137"/>
      <c r="T1" s="137"/>
      <c r="U1" s="137"/>
      <c r="V1" s="143"/>
    </row>
    <row r="2" spans="2:23" s="2" customFormat="1" ht="18" x14ac:dyDescent="0.25">
      <c r="C2" s="778"/>
      <c r="D2" s="778"/>
      <c r="E2" s="778"/>
      <c r="F2" s="778"/>
      <c r="G2" s="778"/>
      <c r="H2" s="778"/>
      <c r="I2" s="778"/>
      <c r="J2" s="778"/>
      <c r="K2" s="778"/>
      <c r="L2" s="778"/>
      <c r="M2" s="778"/>
      <c r="N2" s="778"/>
      <c r="O2" s="778"/>
      <c r="P2" s="778"/>
      <c r="Q2" s="778"/>
      <c r="R2" s="778"/>
      <c r="S2" s="778"/>
      <c r="T2" s="778"/>
      <c r="U2" s="778"/>
      <c r="V2" s="778"/>
    </row>
    <row r="3" spans="2:23" s="2" customFormat="1" ht="18" x14ac:dyDescent="0.25">
      <c r="C3" s="778"/>
      <c r="D3" s="778"/>
      <c r="E3" s="778"/>
      <c r="F3" s="778"/>
      <c r="G3" s="778"/>
      <c r="H3" s="778"/>
      <c r="I3" s="35"/>
      <c r="J3" s="32"/>
      <c r="K3" s="32"/>
      <c r="L3" s="32"/>
      <c r="M3" s="32"/>
      <c r="N3" s="32"/>
      <c r="O3" s="32"/>
      <c r="P3" s="32"/>
      <c r="Q3" s="32"/>
      <c r="R3" s="32"/>
      <c r="S3" s="32"/>
      <c r="T3" s="32"/>
      <c r="U3" s="32"/>
    </row>
    <row r="4" spans="2:23" s="2" customFormat="1" ht="18" x14ac:dyDescent="0.25">
      <c r="C4" s="778"/>
      <c r="D4" s="778"/>
      <c r="E4" s="778"/>
      <c r="F4" s="778"/>
      <c r="G4" s="778"/>
      <c r="H4" s="778"/>
      <c r="I4" s="35"/>
      <c r="J4" s="32"/>
      <c r="K4" s="32"/>
      <c r="L4" s="32"/>
      <c r="M4" s="32"/>
      <c r="N4" s="32"/>
      <c r="O4" s="32"/>
      <c r="P4" s="32"/>
      <c r="Q4" s="32"/>
      <c r="R4" s="32"/>
      <c r="S4" s="32"/>
      <c r="T4" s="32"/>
      <c r="U4" s="32"/>
    </row>
    <row r="5" spans="2:23" s="2" customFormat="1" ht="15.75" x14ac:dyDescent="0.25">
      <c r="E5" s="3"/>
      <c r="F5" s="3"/>
      <c r="G5" s="3"/>
    </row>
    <row r="6" spans="2:23" s="2" customFormat="1" x14ac:dyDescent="0.2"/>
    <row r="8" spans="2:23" ht="15.75" x14ac:dyDescent="0.25">
      <c r="E8" s="57"/>
      <c r="F8" s="812"/>
      <c r="G8" s="812"/>
      <c r="H8" s="812"/>
      <c r="I8" s="812"/>
      <c r="J8" s="812"/>
      <c r="K8" s="812"/>
      <c r="L8" s="812"/>
      <c r="M8" s="812"/>
      <c r="N8" s="812"/>
      <c r="O8" s="812"/>
      <c r="P8" s="812"/>
      <c r="Q8" s="812"/>
      <c r="R8" s="812"/>
      <c r="S8" s="812"/>
      <c r="T8" s="812"/>
      <c r="U8" s="812"/>
      <c r="V8" s="812"/>
      <c r="W8" s="57"/>
    </row>
    <row r="11" spans="2:23" ht="33.75" customHeight="1" x14ac:dyDescent="0.2">
      <c r="B11" s="369" t="s">
        <v>47</v>
      </c>
    </row>
    <row r="13" spans="2:23" ht="25.5" x14ac:dyDescent="0.2">
      <c r="B13" s="40" t="s">
        <v>37</v>
      </c>
      <c r="D13" s="41" t="s">
        <v>41</v>
      </c>
      <c r="E13" s="118"/>
      <c r="F13" s="293" t="s">
        <v>156</v>
      </c>
      <c r="G13" s="141"/>
      <c r="H13" s="25"/>
      <c r="I13" s="25"/>
      <c r="J13" s="293" t="str">
        <f>IF(N13="","","Adjustments")</f>
        <v/>
      </c>
      <c r="K13" s="141"/>
      <c r="L13" s="25"/>
      <c r="M13" s="25"/>
      <c r="N13" s="293" t="str">
        <f>IF(ISBLANK('3. Data_Input_Sheet'!M12),"",'3. Data_Input_Sheet'!M12)</f>
        <v/>
      </c>
      <c r="O13" s="25"/>
      <c r="P13" s="25"/>
      <c r="Q13" s="25"/>
      <c r="R13" s="293" t="str">
        <f>IF(N13="","","Adjustments")</f>
        <v/>
      </c>
      <c r="S13" s="25"/>
      <c r="T13" s="25"/>
      <c r="U13" s="25"/>
      <c r="V13" s="293" t="str">
        <f>'3. Data_Input_Sheet'!U12</f>
        <v>Per Board Decision</v>
      </c>
    </row>
    <row r="15" spans="2:23" x14ac:dyDescent="0.2">
      <c r="D15" s="26" t="s">
        <v>24</v>
      </c>
    </row>
    <row r="16" spans="2:23" ht="25.5" x14ac:dyDescent="0.2">
      <c r="B16" s="166">
        <v>1</v>
      </c>
      <c r="D16" s="27" t="s">
        <v>129</v>
      </c>
      <c r="E16" s="119"/>
      <c r="F16" s="227">
        <f>'3. Data_Input_Sheet'!E26</f>
        <v>24771346.156729858</v>
      </c>
      <c r="G16" s="227"/>
      <c r="H16" s="352"/>
      <c r="I16" s="234"/>
      <c r="J16" s="227">
        <f>N16-F16</f>
        <v>0</v>
      </c>
      <c r="K16" s="227"/>
      <c r="L16" s="352"/>
      <c r="M16" s="234"/>
      <c r="N16" s="227">
        <f>'3. Data_Input_Sheet'!M26</f>
        <v>24771346.156729858</v>
      </c>
      <c r="O16" s="234"/>
      <c r="P16" s="352"/>
      <c r="Q16" s="234"/>
      <c r="R16" s="227">
        <f>V16-N16</f>
        <v>0</v>
      </c>
      <c r="S16" s="234"/>
      <c r="T16" s="352"/>
      <c r="U16" s="234"/>
      <c r="V16" s="227">
        <f>IF(ISBLANK('3. Data_Input_Sheet'!U26),'5. Utility Income'!N16,'3. Data_Input_Sheet'!U26)</f>
        <v>24771346.156729858</v>
      </c>
    </row>
    <row r="17" spans="2:26" ht="14.25" x14ac:dyDescent="0.2">
      <c r="B17" s="166">
        <v>2</v>
      </c>
      <c r="D17" s="5" t="s">
        <v>64</v>
      </c>
      <c r="E17" s="475" t="s">
        <v>2</v>
      </c>
      <c r="F17" s="243">
        <f>F48</f>
        <v>2201364</v>
      </c>
      <c r="G17" s="244"/>
      <c r="H17" s="352"/>
      <c r="I17" s="234"/>
      <c r="J17" s="243">
        <f>N17-F17</f>
        <v>0</v>
      </c>
      <c r="K17" s="244"/>
      <c r="L17" s="352"/>
      <c r="M17" s="234"/>
      <c r="N17" s="243">
        <f>N48</f>
        <v>2201364</v>
      </c>
      <c r="O17" s="234"/>
      <c r="P17" s="352"/>
      <c r="Q17" s="234"/>
      <c r="R17" s="243">
        <f>V17-N17</f>
        <v>0</v>
      </c>
      <c r="S17" s="234"/>
      <c r="T17" s="352"/>
      <c r="U17" s="234"/>
      <c r="V17" s="243">
        <f>V48</f>
        <v>2201364</v>
      </c>
    </row>
    <row r="18" spans="2:26" x14ac:dyDescent="0.2">
      <c r="B18" s="166"/>
      <c r="F18" s="810">
        <f>SUM(F16:F17)</f>
        <v>26972710.156729858</v>
      </c>
      <c r="G18" s="47"/>
      <c r="H18" s="262"/>
      <c r="I18" s="262"/>
      <c r="J18" s="810">
        <f>SUM(J16:J17)</f>
        <v>0</v>
      </c>
      <c r="K18" s="47"/>
      <c r="L18" s="262"/>
      <c r="M18" s="263"/>
      <c r="N18" s="810">
        <f>SUM(N16:N17)</f>
        <v>26972710.156729858</v>
      </c>
      <c r="O18" s="263"/>
      <c r="P18" s="262"/>
      <c r="Q18" s="263"/>
      <c r="R18" s="810">
        <f>SUM(R16:R17)</f>
        <v>0</v>
      </c>
      <c r="S18" s="263"/>
      <c r="T18" s="262"/>
      <c r="U18" s="263"/>
      <c r="V18" s="810">
        <f>SUM(V16:V17)</f>
        <v>26972710.156729858</v>
      </c>
    </row>
    <row r="19" spans="2:26" x14ac:dyDescent="0.2">
      <c r="B19" s="166">
        <v>3</v>
      </c>
      <c r="D19" s="5" t="s">
        <v>114</v>
      </c>
      <c r="F19" s="811"/>
      <c r="G19" s="47"/>
      <c r="H19" s="262"/>
      <c r="I19" s="262"/>
      <c r="J19" s="811"/>
      <c r="K19" s="47"/>
      <c r="L19" s="262"/>
      <c r="M19" s="263"/>
      <c r="N19" s="811"/>
      <c r="O19" s="263"/>
      <c r="P19" s="262"/>
      <c r="Q19" s="263"/>
      <c r="R19" s="811"/>
      <c r="S19" s="263"/>
      <c r="T19" s="262"/>
      <c r="U19" s="263"/>
      <c r="V19" s="811"/>
    </row>
    <row r="20" spans="2:26" x14ac:dyDescent="0.2">
      <c r="B20" s="166"/>
      <c r="F20" s="247"/>
      <c r="G20" s="247"/>
      <c r="H20" s="246"/>
      <c r="I20" s="246"/>
      <c r="J20" s="247"/>
      <c r="K20" s="247"/>
      <c r="L20" s="246"/>
      <c r="M20" s="229"/>
      <c r="N20" s="247"/>
      <c r="O20" s="229"/>
      <c r="P20" s="246"/>
      <c r="Q20" s="229"/>
      <c r="R20" s="247"/>
      <c r="S20" s="229"/>
      <c r="T20" s="246"/>
      <c r="U20" s="229"/>
      <c r="V20" s="247"/>
    </row>
    <row r="21" spans="2:26" x14ac:dyDescent="0.2">
      <c r="B21" s="166"/>
      <c r="D21" s="26" t="s">
        <v>25</v>
      </c>
      <c r="F21" s="247"/>
      <c r="G21" s="247"/>
      <c r="H21" s="246"/>
      <c r="I21" s="246"/>
      <c r="J21" s="247"/>
      <c r="K21" s="247"/>
      <c r="L21" s="246"/>
      <c r="M21" s="229"/>
      <c r="N21" s="247"/>
      <c r="O21" s="229"/>
      <c r="P21" s="246"/>
      <c r="Q21" s="229"/>
      <c r="R21" s="247"/>
      <c r="S21" s="229"/>
      <c r="T21" s="246"/>
      <c r="U21" s="229"/>
      <c r="V21" s="247"/>
    </row>
    <row r="22" spans="2:26" x14ac:dyDescent="0.2">
      <c r="B22" s="166">
        <v>4</v>
      </c>
      <c r="D22" s="5" t="s">
        <v>39</v>
      </c>
      <c r="F22" s="227">
        <f>'3. Data_Input_Sheet'!E36</f>
        <v>14933344.998750471</v>
      </c>
      <c r="G22" s="227"/>
      <c r="H22" s="352"/>
      <c r="I22" s="234"/>
      <c r="J22" s="227">
        <f>'3. Data_Input_Sheet'!I36</f>
        <v>0</v>
      </c>
      <c r="K22" s="227"/>
      <c r="L22" s="352"/>
      <c r="M22" s="234"/>
      <c r="N22" s="227">
        <f>'3. Data_Input_Sheet'!M36</f>
        <v>14933344.998750471</v>
      </c>
      <c r="O22" s="234"/>
      <c r="P22" s="352"/>
      <c r="Q22" s="234"/>
      <c r="R22" s="227">
        <f>'3. Data_Input_Sheet'!Q36</f>
        <v>0</v>
      </c>
      <c r="S22" s="234"/>
      <c r="T22" s="352"/>
      <c r="U22" s="234"/>
      <c r="V22" s="227">
        <f>'3. Data_Input_Sheet'!U36</f>
        <v>14933344.998750471</v>
      </c>
    </row>
    <row r="23" spans="2:26" x14ac:dyDescent="0.2">
      <c r="B23" s="166">
        <v>5</v>
      </c>
      <c r="D23" s="5" t="s">
        <v>26</v>
      </c>
      <c r="F23" s="227">
        <f>'3. Data_Input_Sheet'!E37</f>
        <v>4916956.9560465533</v>
      </c>
      <c r="G23" s="227"/>
      <c r="H23" s="352"/>
      <c r="I23" s="234"/>
      <c r="J23" s="227">
        <f>'3. Data_Input_Sheet'!I37</f>
        <v>0</v>
      </c>
      <c r="K23" s="227"/>
      <c r="L23" s="352"/>
      <c r="M23" s="234"/>
      <c r="N23" s="227">
        <f>'3. Data_Input_Sheet'!M37</f>
        <v>4916956.9560465533</v>
      </c>
      <c r="O23" s="234"/>
      <c r="P23" s="352"/>
      <c r="Q23" s="234"/>
      <c r="R23" s="227">
        <f>'3. Data_Input_Sheet'!Q37</f>
        <v>0</v>
      </c>
      <c r="S23" s="234"/>
      <c r="T23" s="352"/>
      <c r="U23" s="234"/>
      <c r="V23" s="227">
        <f>'3. Data_Input_Sheet'!U37</f>
        <v>4916956.9560465533</v>
      </c>
    </row>
    <row r="24" spans="2:26" x14ac:dyDescent="0.2">
      <c r="B24" s="166">
        <v>6</v>
      </c>
      <c r="C24" s="15"/>
      <c r="D24" s="15" t="s">
        <v>44</v>
      </c>
      <c r="E24" s="15"/>
      <c r="F24" s="227">
        <f>'3. Data_Input_Sheet'!E38</f>
        <v>200192.5</v>
      </c>
      <c r="G24" s="227"/>
      <c r="H24" s="352"/>
      <c r="I24" s="234"/>
      <c r="J24" s="227">
        <f>'3. Data_Input_Sheet'!I38</f>
        <v>0</v>
      </c>
      <c r="K24" s="227"/>
      <c r="L24" s="352"/>
      <c r="M24" s="234"/>
      <c r="N24" s="227">
        <f>'3. Data_Input_Sheet'!M38</f>
        <v>200192.5</v>
      </c>
      <c r="O24" s="234"/>
      <c r="P24" s="352"/>
      <c r="Q24" s="234"/>
      <c r="R24" s="227">
        <f>'3. Data_Input_Sheet'!Q38</f>
        <v>0</v>
      </c>
      <c r="S24" s="234"/>
      <c r="T24" s="352"/>
      <c r="U24" s="234"/>
      <c r="V24" s="227">
        <f>'3. Data_Input_Sheet'!U38</f>
        <v>200192.5</v>
      </c>
      <c r="W24" s="15"/>
      <c r="X24" s="15"/>
      <c r="Y24" s="15"/>
      <c r="Z24" s="15"/>
    </row>
    <row r="25" spans="2:26" x14ac:dyDescent="0.2">
      <c r="B25" s="166">
        <v>7</v>
      </c>
      <c r="C25" s="15"/>
      <c r="D25" s="15" t="s">
        <v>43</v>
      </c>
      <c r="E25" s="15"/>
      <c r="F25" s="245">
        <f>'6. Taxes_PILs'!G25</f>
        <v>0</v>
      </c>
      <c r="G25" s="245"/>
      <c r="H25" s="352"/>
      <c r="I25" s="234"/>
      <c r="J25" s="245">
        <f>N25-F25</f>
        <v>0</v>
      </c>
      <c r="K25" s="245"/>
      <c r="L25" s="352"/>
      <c r="M25" s="234"/>
      <c r="N25" s="245">
        <f>'6. Taxes_PILs'!K25</f>
        <v>0</v>
      </c>
      <c r="O25" s="234"/>
      <c r="P25" s="376"/>
      <c r="Q25" s="234"/>
      <c r="R25" s="245">
        <f>V25-N25</f>
        <v>0</v>
      </c>
      <c r="S25" s="234"/>
      <c r="T25" s="352"/>
      <c r="U25" s="234"/>
      <c r="V25" s="245">
        <f>'6. Taxes_PILs'!O25</f>
        <v>0</v>
      </c>
      <c r="W25" s="15"/>
      <c r="X25" s="15"/>
      <c r="Y25" s="15"/>
      <c r="Z25" s="15"/>
    </row>
    <row r="26" spans="2:26" x14ac:dyDescent="0.2">
      <c r="B26" s="166">
        <v>8</v>
      </c>
      <c r="D26" s="5" t="s">
        <v>94</v>
      </c>
      <c r="F26" s="243">
        <f>'3. Data_Input_Sheet'!E40</f>
        <v>0</v>
      </c>
      <c r="G26" s="244"/>
      <c r="H26" s="352"/>
      <c r="I26" s="234"/>
      <c r="J26" s="243">
        <f>'3. Data_Input_Sheet'!I40</f>
        <v>0</v>
      </c>
      <c r="K26" s="244"/>
      <c r="L26" s="352"/>
      <c r="M26" s="234"/>
      <c r="N26" s="243" t="str">
        <f>'3. Data_Input_Sheet'!M40</f>
        <v/>
      </c>
      <c r="O26" s="234"/>
      <c r="P26" s="352"/>
      <c r="Q26" s="234"/>
      <c r="R26" s="243">
        <f>'3. Data_Input_Sheet'!Q40</f>
        <v>0</v>
      </c>
      <c r="S26" s="234"/>
      <c r="T26" s="352"/>
      <c r="U26" s="234"/>
      <c r="V26" s="243" t="str">
        <f>'3. Data_Input_Sheet'!U40</f>
        <v/>
      </c>
    </row>
    <row r="27" spans="2:26" x14ac:dyDescent="0.2">
      <c r="B27" s="166"/>
      <c r="D27" s="24"/>
      <c r="F27" s="797">
        <f>SUM(F22:F26)</f>
        <v>20050494.454797022</v>
      </c>
      <c r="G27" s="48"/>
      <c r="H27" s="262"/>
      <c r="I27" s="262"/>
      <c r="J27" s="797">
        <f>SUM(J22:J26)</f>
        <v>0</v>
      </c>
      <c r="K27" s="48"/>
      <c r="L27" s="262"/>
      <c r="M27" s="262"/>
      <c r="N27" s="797">
        <f>SUM(N22:N26)</f>
        <v>20050494.454797022</v>
      </c>
      <c r="O27" s="262"/>
      <c r="P27" s="262"/>
      <c r="Q27" s="262"/>
      <c r="R27" s="797">
        <f>SUM(R22:R26)</f>
        <v>0</v>
      </c>
      <c r="S27" s="262"/>
      <c r="T27" s="262"/>
      <c r="U27" s="262"/>
      <c r="V27" s="797">
        <f>SUM(V22:V26)</f>
        <v>20050494.454797022</v>
      </c>
    </row>
    <row r="28" spans="2:26" x14ac:dyDescent="0.2">
      <c r="B28" s="166">
        <v>9</v>
      </c>
      <c r="D28" s="120" t="s">
        <v>157</v>
      </c>
      <c r="F28" s="809"/>
      <c r="G28" s="48"/>
      <c r="H28" s="262"/>
      <c r="I28" s="262"/>
      <c r="J28" s="809"/>
      <c r="K28" s="48"/>
      <c r="L28" s="262"/>
      <c r="M28" s="262"/>
      <c r="N28" s="809"/>
      <c r="O28" s="262"/>
      <c r="P28" s="262"/>
      <c r="Q28" s="262"/>
      <c r="R28" s="809"/>
      <c r="S28" s="262"/>
      <c r="T28" s="262"/>
      <c r="U28" s="262"/>
      <c r="V28" s="809"/>
    </row>
    <row r="29" spans="2:26" x14ac:dyDescent="0.2">
      <c r="B29" s="166"/>
      <c r="F29" s="248"/>
      <c r="G29" s="248"/>
      <c r="H29" s="246"/>
      <c r="I29" s="246"/>
      <c r="J29" s="248"/>
      <c r="K29" s="248"/>
      <c r="L29" s="246"/>
      <c r="M29" s="246"/>
      <c r="N29" s="248"/>
      <c r="O29" s="246"/>
      <c r="P29" s="246"/>
      <c r="Q29" s="246"/>
      <c r="R29" s="248"/>
      <c r="S29" s="246"/>
      <c r="T29" s="246"/>
      <c r="U29" s="246"/>
      <c r="V29" s="248"/>
    </row>
    <row r="30" spans="2:26" x14ac:dyDescent="0.2">
      <c r="B30" s="166">
        <v>10</v>
      </c>
      <c r="D30" s="24" t="s">
        <v>95</v>
      </c>
      <c r="F30" s="249">
        <f>'7. Cost_of_Capital'!P19</f>
        <v>2303653.3504001889</v>
      </c>
      <c r="G30" s="248"/>
      <c r="H30" s="246"/>
      <c r="I30" s="246"/>
      <c r="J30" s="249">
        <f>N30-F30</f>
        <v>0</v>
      </c>
      <c r="K30" s="248"/>
      <c r="L30" s="246"/>
      <c r="M30" s="246"/>
      <c r="N30" s="249">
        <f>'7. Cost_of_Capital'!P35</f>
        <v>2303653.3504001889</v>
      </c>
      <c r="O30" s="246"/>
      <c r="P30" s="246"/>
      <c r="Q30" s="246"/>
      <c r="R30" s="249">
        <f>V30-N30</f>
        <v>0</v>
      </c>
      <c r="S30" s="246"/>
      <c r="T30" s="246"/>
      <c r="U30" s="246"/>
      <c r="V30" s="249">
        <f>'7. Cost_of_Capital'!P51</f>
        <v>2303653.3504001889</v>
      </c>
    </row>
    <row r="31" spans="2:26" x14ac:dyDescent="0.2">
      <c r="B31" s="166"/>
      <c r="F31" s="248"/>
      <c r="G31" s="248"/>
      <c r="H31" s="246"/>
      <c r="I31" s="246"/>
      <c r="J31" s="248"/>
      <c r="K31" s="248"/>
      <c r="L31" s="246"/>
      <c r="M31" s="246"/>
      <c r="N31" s="248"/>
      <c r="O31" s="246"/>
      <c r="P31" s="246"/>
      <c r="Q31" s="246"/>
      <c r="R31" s="248"/>
      <c r="S31" s="246"/>
      <c r="T31" s="246"/>
      <c r="U31" s="246"/>
      <c r="V31" s="248"/>
    </row>
    <row r="32" spans="2:26" x14ac:dyDescent="0.2">
      <c r="B32" s="166">
        <v>11</v>
      </c>
      <c r="D32" s="120" t="s">
        <v>158</v>
      </c>
      <c r="F32" s="248">
        <f>F27+F30</f>
        <v>22354147.805197209</v>
      </c>
      <c r="G32" s="248"/>
      <c r="H32" s="246"/>
      <c r="I32" s="246"/>
      <c r="J32" s="248">
        <f>J30+J27</f>
        <v>0</v>
      </c>
      <c r="K32" s="248"/>
      <c r="L32" s="246"/>
      <c r="M32" s="246"/>
      <c r="N32" s="248">
        <f>N30+N27</f>
        <v>22354147.805197209</v>
      </c>
      <c r="O32" s="246"/>
      <c r="P32" s="246"/>
      <c r="Q32" s="246"/>
      <c r="R32" s="248">
        <f>R30+R27</f>
        <v>0</v>
      </c>
      <c r="S32" s="246"/>
      <c r="T32" s="246"/>
      <c r="U32" s="246"/>
      <c r="V32" s="248">
        <f>V27+V30</f>
        <v>22354147.805197209</v>
      </c>
    </row>
    <row r="33" spans="2:24" x14ac:dyDescent="0.2">
      <c r="B33" s="166"/>
      <c r="F33" s="373"/>
      <c r="G33" s="47"/>
      <c r="H33" s="262"/>
      <c r="I33" s="262"/>
      <c r="J33" s="373"/>
      <c r="K33" s="47"/>
      <c r="L33" s="262"/>
      <c r="M33" s="262"/>
      <c r="N33" s="373"/>
      <c r="O33" s="262"/>
      <c r="P33" s="262"/>
      <c r="Q33" s="262"/>
      <c r="R33" s="373"/>
      <c r="S33" s="262"/>
      <c r="T33" s="262"/>
      <c r="U33" s="262"/>
      <c r="V33" s="373"/>
    </row>
    <row r="34" spans="2:24" ht="26.25" thickBot="1" x14ac:dyDescent="0.25">
      <c r="B34" s="166">
        <v>12</v>
      </c>
      <c r="D34" s="55" t="s">
        <v>97</v>
      </c>
      <c r="E34" s="119"/>
      <c r="F34" s="374">
        <f>F18-(F32)</f>
        <v>4618562.3515326492</v>
      </c>
      <c r="G34" s="47"/>
      <c r="H34" s="121"/>
      <c r="I34" s="121"/>
      <c r="J34" s="374">
        <f>J18-(J32)</f>
        <v>0</v>
      </c>
      <c r="K34" s="47"/>
      <c r="L34" s="122"/>
      <c r="M34" s="122"/>
      <c r="N34" s="374">
        <f>N18-(N32)</f>
        <v>4618562.3515326492</v>
      </c>
      <c r="O34" s="122"/>
      <c r="P34" s="122"/>
      <c r="Q34" s="122"/>
      <c r="R34" s="374">
        <f>R18-(R32)</f>
        <v>0</v>
      </c>
      <c r="S34" s="122"/>
      <c r="T34" s="122"/>
      <c r="U34" s="122"/>
      <c r="V34" s="374">
        <f>V18-(V32)</f>
        <v>4618562.3515326492</v>
      </c>
      <c r="X34" s="21"/>
    </row>
    <row r="35" spans="2:24" ht="13.5" thickTop="1" x14ac:dyDescent="0.2">
      <c r="B35" s="166"/>
      <c r="F35" s="805">
        <f>'6. Taxes_PILs'!G31</f>
        <v>684115.38260455884</v>
      </c>
      <c r="G35" s="48"/>
      <c r="H35" s="262"/>
      <c r="I35" s="262"/>
      <c r="J35" s="805">
        <f>N35-F35</f>
        <v>0</v>
      </c>
      <c r="K35" s="48"/>
      <c r="L35" s="262"/>
      <c r="M35" s="262"/>
      <c r="N35" s="805">
        <f>'6. Taxes_PILs'!K31</f>
        <v>684115.38260455884</v>
      </c>
      <c r="O35" s="262"/>
      <c r="P35" s="262"/>
      <c r="Q35" s="262"/>
      <c r="R35" s="805">
        <f>V35-N35</f>
        <v>0</v>
      </c>
      <c r="S35" s="262"/>
      <c r="T35" s="262"/>
      <c r="U35" s="262"/>
      <c r="V35" s="805">
        <f>IF('6. Taxes_PILs'!O31=0,N35,'6. Taxes_PILs'!O31)</f>
        <v>684115.38260455884</v>
      </c>
    </row>
    <row r="36" spans="2:24" x14ac:dyDescent="0.2">
      <c r="B36" s="166">
        <v>13</v>
      </c>
      <c r="D36" s="24" t="s">
        <v>108</v>
      </c>
      <c r="F36" s="806"/>
      <c r="G36" s="48"/>
      <c r="H36" s="262"/>
      <c r="I36" s="262"/>
      <c r="J36" s="806"/>
      <c r="K36" s="48"/>
      <c r="L36" s="262"/>
      <c r="M36" s="262"/>
      <c r="N36" s="806"/>
      <c r="O36" s="262"/>
      <c r="P36" s="262"/>
      <c r="Q36" s="262"/>
      <c r="R36" s="806"/>
      <c r="S36" s="262"/>
      <c r="T36" s="262"/>
      <c r="U36" s="262"/>
      <c r="V36" s="806"/>
    </row>
    <row r="37" spans="2:24" x14ac:dyDescent="0.2">
      <c r="B37" s="166"/>
      <c r="F37" s="807">
        <f>F34-F35</f>
        <v>3934446.9689280903</v>
      </c>
      <c r="G37" s="145"/>
      <c r="H37" s="262"/>
      <c r="I37" s="262"/>
      <c r="J37" s="807">
        <f>J34-J35</f>
        <v>0</v>
      </c>
      <c r="K37" s="145"/>
      <c r="L37" s="262"/>
      <c r="M37" s="262"/>
      <c r="N37" s="807">
        <f>N34-N35</f>
        <v>3934446.9689280903</v>
      </c>
      <c r="O37" s="262"/>
      <c r="P37" s="262"/>
      <c r="Q37" s="262"/>
      <c r="R37" s="807">
        <f>R34-R35</f>
        <v>0</v>
      </c>
      <c r="S37" s="262"/>
      <c r="T37" s="262"/>
      <c r="U37" s="262"/>
      <c r="V37" s="807">
        <f>V34-V35</f>
        <v>3934446.9689280903</v>
      </c>
    </row>
    <row r="38" spans="2:24" ht="13.5" thickBot="1" x14ac:dyDescent="0.25">
      <c r="B38" s="166">
        <v>14</v>
      </c>
      <c r="D38" s="16" t="s">
        <v>105</v>
      </c>
      <c r="F38" s="808"/>
      <c r="G38" s="145"/>
      <c r="H38" s="121"/>
      <c r="I38" s="121"/>
      <c r="J38" s="808"/>
      <c r="K38" s="145"/>
      <c r="L38" s="121"/>
      <c r="M38" s="121"/>
      <c r="N38" s="808"/>
      <c r="O38" s="121"/>
      <c r="P38" s="121"/>
      <c r="Q38" s="121"/>
      <c r="R38" s="808"/>
      <c r="S38" s="121"/>
      <c r="T38" s="121"/>
      <c r="U38" s="121"/>
      <c r="V38" s="808"/>
    </row>
    <row r="39" spans="2:24" ht="13.5" thickTop="1" x14ac:dyDescent="0.2"/>
    <row r="40" spans="2:24" ht="7.5" customHeight="1" x14ac:dyDescent="0.2"/>
    <row r="42" spans="2:24" x14ac:dyDescent="0.2">
      <c r="B42" s="815" t="s">
        <v>38</v>
      </c>
      <c r="C42" s="815"/>
      <c r="D42" s="815"/>
      <c r="E42" s="815"/>
      <c r="F42" s="815"/>
      <c r="G42" s="815"/>
      <c r="H42" s="815"/>
      <c r="I42" s="815"/>
      <c r="J42" s="815"/>
      <c r="K42" s="815"/>
      <c r="L42" s="815"/>
      <c r="M42" s="815"/>
      <c r="N42" s="815"/>
      <c r="O42" s="815"/>
      <c r="P42" s="815"/>
      <c r="Q42" s="815"/>
      <c r="R42" s="815"/>
      <c r="S42" s="815"/>
      <c r="T42" s="815"/>
      <c r="U42" s="815"/>
      <c r="V42" s="815"/>
    </row>
    <row r="43" spans="2:24" ht="13.5" thickBot="1" x14ac:dyDescent="0.25">
      <c r="D43" s="81"/>
      <c r="E43" s="33"/>
      <c r="F43" s="33"/>
      <c r="G43" s="33"/>
      <c r="H43" s="33"/>
      <c r="I43" s="33"/>
      <c r="J43" s="33"/>
      <c r="K43" s="33"/>
      <c r="L43" s="33"/>
      <c r="M43" s="33"/>
      <c r="N43" s="33"/>
      <c r="O43" s="33"/>
      <c r="P43" s="33"/>
      <c r="Q43" s="33"/>
      <c r="R43" s="33"/>
      <c r="S43" s="33"/>
      <c r="T43" s="33"/>
      <c r="U43" s="33"/>
      <c r="V43" s="33"/>
    </row>
    <row r="44" spans="2:24" ht="14.25" x14ac:dyDescent="0.2">
      <c r="B44" s="484" t="s">
        <v>2</v>
      </c>
      <c r="D44" s="485" t="s">
        <v>53</v>
      </c>
      <c r="E44" s="429"/>
      <c r="F44" s="486">
        <f>'3. Data_Input_Sheet'!E28</f>
        <v>321846</v>
      </c>
      <c r="G44" s="486"/>
      <c r="H44" s="487"/>
      <c r="I44" s="488"/>
      <c r="J44" s="486">
        <f>'3. Data_Input_Sheet'!I28</f>
        <v>0</v>
      </c>
      <c r="K44" s="486"/>
      <c r="L44" s="487"/>
      <c r="M44" s="429"/>
      <c r="N44" s="486">
        <f>'3. Data_Input_Sheet'!M28</f>
        <v>321846</v>
      </c>
      <c r="O44" s="486"/>
      <c r="P44" s="487"/>
      <c r="Q44" s="429"/>
      <c r="R44" s="486">
        <f>'3. Data_Input_Sheet'!Q28</f>
        <v>0</v>
      </c>
      <c r="S44" s="486"/>
      <c r="T44" s="487"/>
      <c r="U44" s="429"/>
      <c r="V44" s="486">
        <f>IF(ISBLANK('3. Data_Input_Sheet'!U28),N44,'3. Data_Input_Sheet'!U28)</f>
        <v>321846</v>
      </c>
      <c r="W44" s="489"/>
    </row>
    <row r="45" spans="2:24" x14ac:dyDescent="0.2">
      <c r="D45" s="490" t="s">
        <v>54</v>
      </c>
      <c r="E45" s="33"/>
      <c r="F45" s="99">
        <f>'3. Data_Input_Sheet'!E29</f>
        <v>226280</v>
      </c>
      <c r="G45" s="99"/>
      <c r="H45" s="355"/>
      <c r="I45" s="181"/>
      <c r="J45" s="99">
        <f>'3. Data_Input_Sheet'!I29</f>
        <v>0</v>
      </c>
      <c r="K45" s="99"/>
      <c r="L45" s="355"/>
      <c r="M45" s="33"/>
      <c r="N45" s="99">
        <f>'3. Data_Input_Sheet'!M29</f>
        <v>226280</v>
      </c>
      <c r="O45" s="99"/>
      <c r="P45" s="355"/>
      <c r="Q45" s="33"/>
      <c r="R45" s="99">
        <f>'3. Data_Input_Sheet'!Q29</f>
        <v>0</v>
      </c>
      <c r="S45" s="99"/>
      <c r="T45" s="355"/>
      <c r="U45" s="33"/>
      <c r="V45" s="99">
        <f>IF(ISBLANK('3. Data_Input_Sheet'!U29),N45,'3. Data_Input_Sheet'!U29)</f>
        <v>226280</v>
      </c>
      <c r="W45" s="491"/>
    </row>
    <row r="46" spans="2:24" x14ac:dyDescent="0.2">
      <c r="D46" s="490" t="s">
        <v>55</v>
      </c>
      <c r="E46" s="33"/>
      <c r="F46" s="99">
        <f>'3. Data_Input_Sheet'!E30</f>
        <v>1119716</v>
      </c>
      <c r="G46" s="99"/>
      <c r="H46" s="355"/>
      <c r="I46" s="181"/>
      <c r="J46" s="99">
        <f>'3. Data_Input_Sheet'!I30</f>
        <v>0</v>
      </c>
      <c r="K46" s="99"/>
      <c r="L46" s="355"/>
      <c r="M46" s="33"/>
      <c r="N46" s="99">
        <f>'3. Data_Input_Sheet'!M30</f>
        <v>1119716</v>
      </c>
      <c r="O46" s="99"/>
      <c r="P46" s="355"/>
      <c r="Q46" s="33"/>
      <c r="R46" s="99">
        <f>'3. Data_Input_Sheet'!Q30</f>
        <v>0</v>
      </c>
      <c r="S46" s="99"/>
      <c r="T46" s="355"/>
      <c r="U46" s="33"/>
      <c r="V46" s="99">
        <f>IF(ISBLANK('3. Data_Input_Sheet'!U30),N46,'3. Data_Input_Sheet'!U30)</f>
        <v>1119716</v>
      </c>
      <c r="W46" s="491"/>
    </row>
    <row r="47" spans="2:24" x14ac:dyDescent="0.2">
      <c r="D47" s="490" t="s">
        <v>56</v>
      </c>
      <c r="E47" s="33"/>
      <c r="F47" s="99">
        <f>'3. Data_Input_Sheet'!E31</f>
        <v>533522</v>
      </c>
      <c r="G47" s="99"/>
      <c r="H47" s="355"/>
      <c r="I47" s="181"/>
      <c r="J47" s="99">
        <f>'3. Data_Input_Sheet'!I31</f>
        <v>0</v>
      </c>
      <c r="K47" s="99"/>
      <c r="L47" s="355"/>
      <c r="M47" s="33"/>
      <c r="N47" s="99">
        <f>'3. Data_Input_Sheet'!M31</f>
        <v>533522</v>
      </c>
      <c r="O47" s="99"/>
      <c r="P47" s="355"/>
      <c r="Q47" s="33"/>
      <c r="R47" s="99">
        <f>'3. Data_Input_Sheet'!Q31</f>
        <v>0</v>
      </c>
      <c r="S47" s="99"/>
      <c r="T47" s="355"/>
      <c r="U47" s="33"/>
      <c r="V47" s="99">
        <f>IF(ISBLANK('3. Data_Input_Sheet'!U31),N47,'3. Data_Input_Sheet'!U31)</f>
        <v>533522</v>
      </c>
      <c r="W47" s="491"/>
    </row>
    <row r="48" spans="2:24" x14ac:dyDescent="0.2">
      <c r="D48" s="490"/>
      <c r="E48" s="33"/>
      <c r="F48" s="803">
        <f>SUM(F44:F47)</f>
        <v>2201364</v>
      </c>
      <c r="G48" s="155"/>
      <c r="H48" s="33"/>
      <c r="I48" s="33"/>
      <c r="J48" s="803">
        <f>SUM(J44:J47)</f>
        <v>0</v>
      </c>
      <c r="K48" s="33"/>
      <c r="L48" s="33"/>
      <c r="M48" s="33"/>
      <c r="N48" s="803">
        <f>SUM(N44:N47)</f>
        <v>2201364</v>
      </c>
      <c r="O48" s="33"/>
      <c r="P48" s="33"/>
      <c r="Q48" s="33"/>
      <c r="R48" s="803">
        <f>SUM(R44:R47)</f>
        <v>0</v>
      </c>
      <c r="S48" s="33"/>
      <c r="T48" s="33"/>
      <c r="U48" s="33"/>
      <c r="V48" s="803">
        <f>SUM(V44:V47)</f>
        <v>2201364</v>
      </c>
      <c r="W48" s="491"/>
    </row>
    <row r="49" spans="2:23" ht="13.5" thickBot="1" x14ac:dyDescent="0.25">
      <c r="D49" s="492" t="s">
        <v>57</v>
      </c>
      <c r="E49" s="33"/>
      <c r="F49" s="804"/>
      <c r="G49" s="155"/>
      <c r="H49" s="33"/>
      <c r="I49" s="33"/>
      <c r="J49" s="804"/>
      <c r="K49" s="33"/>
      <c r="L49" s="33"/>
      <c r="M49" s="33"/>
      <c r="N49" s="804"/>
      <c r="O49" s="33"/>
      <c r="P49" s="33"/>
      <c r="Q49" s="33"/>
      <c r="R49" s="804"/>
      <c r="S49" s="33"/>
      <c r="T49" s="33"/>
      <c r="U49" s="33"/>
      <c r="V49" s="804"/>
      <c r="W49" s="491"/>
    </row>
    <row r="50" spans="2:23" ht="14.25" thickTop="1" thickBot="1" x14ac:dyDescent="0.25">
      <c r="D50" s="493"/>
      <c r="E50" s="437"/>
      <c r="F50" s="437"/>
      <c r="G50" s="437"/>
      <c r="H50" s="437"/>
      <c r="I50" s="437"/>
      <c r="J50" s="437"/>
      <c r="K50" s="437"/>
      <c r="L50" s="437"/>
      <c r="M50" s="437"/>
      <c r="N50" s="437"/>
      <c r="O50" s="437"/>
      <c r="P50" s="437"/>
      <c r="Q50" s="437"/>
      <c r="R50" s="437"/>
      <c r="S50" s="437"/>
      <c r="T50" s="437"/>
      <c r="U50" s="437"/>
      <c r="V50" s="437"/>
      <c r="W50" s="494"/>
    </row>
    <row r="51" spans="2:23" x14ac:dyDescent="0.2">
      <c r="D51" s="33"/>
      <c r="E51" s="33"/>
      <c r="F51" s="33"/>
      <c r="G51" s="33"/>
      <c r="H51" s="33"/>
      <c r="I51" s="33"/>
      <c r="J51" s="33"/>
      <c r="K51" s="33"/>
      <c r="L51" s="33"/>
      <c r="M51" s="33"/>
      <c r="N51" s="33"/>
      <c r="O51" s="33"/>
      <c r="P51" s="33"/>
      <c r="Q51" s="33"/>
      <c r="R51" s="33"/>
      <c r="S51" s="33"/>
      <c r="T51" s="33"/>
      <c r="U51" s="33"/>
      <c r="V51" s="33"/>
    </row>
    <row r="52" spans="2:23" x14ac:dyDescent="0.2">
      <c r="B52" s="356"/>
      <c r="D52" s="813"/>
      <c r="E52" s="813"/>
      <c r="F52" s="813"/>
      <c r="G52" s="813"/>
      <c r="H52" s="813"/>
      <c r="I52" s="813"/>
      <c r="J52" s="813"/>
      <c r="K52" s="813"/>
      <c r="L52" s="813"/>
      <c r="M52" s="813"/>
      <c r="N52" s="813"/>
      <c r="O52" s="813"/>
      <c r="P52" s="813"/>
      <c r="Q52" s="813"/>
      <c r="R52" s="813"/>
      <c r="S52" s="813"/>
      <c r="T52" s="813"/>
      <c r="U52" s="813"/>
      <c r="V52" s="813"/>
    </row>
    <row r="53" spans="2:23" x14ac:dyDescent="0.2">
      <c r="B53" s="356"/>
      <c r="D53" s="813"/>
      <c r="E53" s="813"/>
      <c r="F53" s="813"/>
      <c r="G53" s="813"/>
      <c r="H53" s="813"/>
      <c r="I53" s="813"/>
      <c r="J53" s="813"/>
      <c r="K53" s="813"/>
      <c r="L53" s="813"/>
      <c r="M53" s="813"/>
      <c r="N53" s="813"/>
      <c r="O53" s="813"/>
      <c r="P53" s="813"/>
      <c r="Q53" s="813"/>
      <c r="R53" s="813"/>
      <c r="S53" s="813"/>
      <c r="T53" s="813"/>
      <c r="U53" s="813"/>
      <c r="V53" s="813"/>
    </row>
    <row r="54" spans="2:23" x14ac:dyDescent="0.2">
      <c r="B54" s="356"/>
      <c r="D54" s="814"/>
      <c r="E54" s="813"/>
      <c r="F54" s="813"/>
      <c r="G54" s="813"/>
      <c r="H54" s="813"/>
      <c r="I54" s="813"/>
      <c r="J54" s="813"/>
      <c r="K54" s="813"/>
      <c r="L54" s="813"/>
      <c r="M54" s="813"/>
      <c r="N54" s="813"/>
      <c r="O54" s="813"/>
      <c r="P54" s="813"/>
      <c r="Q54" s="813"/>
      <c r="R54" s="813"/>
      <c r="S54" s="813"/>
      <c r="T54" s="813"/>
      <c r="U54" s="813"/>
      <c r="V54" s="813"/>
    </row>
    <row r="55" spans="2:23" x14ac:dyDescent="0.2">
      <c r="B55" s="356"/>
      <c r="D55" s="813"/>
      <c r="E55" s="813"/>
      <c r="F55" s="813"/>
      <c r="G55" s="813"/>
      <c r="H55" s="813"/>
      <c r="I55" s="813"/>
      <c r="J55" s="813"/>
      <c r="K55" s="813"/>
      <c r="L55" s="813"/>
      <c r="M55" s="813"/>
      <c r="N55" s="813"/>
      <c r="O55" s="813"/>
      <c r="P55" s="813"/>
      <c r="Q55" s="813"/>
      <c r="R55" s="813"/>
      <c r="S55" s="813"/>
      <c r="T55" s="813"/>
      <c r="U55" s="813"/>
      <c r="V55" s="813"/>
    </row>
    <row r="56" spans="2:23" x14ac:dyDescent="0.2">
      <c r="B56" s="356"/>
      <c r="D56" s="813"/>
      <c r="E56" s="813"/>
      <c r="F56" s="813"/>
      <c r="G56" s="813"/>
      <c r="H56" s="813"/>
      <c r="I56" s="813"/>
      <c r="J56" s="813"/>
      <c r="K56" s="813"/>
      <c r="L56" s="813"/>
      <c r="M56" s="813"/>
      <c r="N56" s="813"/>
      <c r="O56" s="813"/>
      <c r="P56" s="813"/>
      <c r="Q56" s="813"/>
      <c r="R56" s="813"/>
      <c r="S56" s="813"/>
      <c r="T56" s="813"/>
      <c r="U56" s="813"/>
      <c r="V56" s="813"/>
    </row>
    <row r="57" spans="2:23" x14ac:dyDescent="0.2">
      <c r="B57" s="356"/>
      <c r="D57" s="813"/>
      <c r="E57" s="813"/>
      <c r="F57" s="813"/>
      <c r="G57" s="813"/>
      <c r="H57" s="813"/>
      <c r="I57" s="813"/>
      <c r="J57" s="813"/>
      <c r="K57" s="813"/>
      <c r="L57" s="813"/>
      <c r="M57" s="813"/>
      <c r="N57" s="813"/>
      <c r="O57" s="813"/>
      <c r="P57" s="813"/>
      <c r="Q57" s="813"/>
      <c r="R57" s="813"/>
      <c r="S57" s="813"/>
      <c r="T57" s="813"/>
      <c r="U57" s="813"/>
      <c r="V57" s="813"/>
    </row>
  </sheetData>
  <sheetProtection algorithmName="SHA-512" hashValue="PT3zi7h6R2juW780jW1QUzj+lS0Maq040+/R+HV4lZukleF16heCFjnvk3tUUN3wc2tPSucvkEVbByXPamPHOQ==" saltValue="lFkwOzyZQadhNOSTZ9h5oA==" spinCount="100000" sheet="1" objects="1" scenarios="1"/>
  <mergeCells count="37">
    <mergeCell ref="D57:V57"/>
    <mergeCell ref="D55:V55"/>
    <mergeCell ref="D56:V56"/>
    <mergeCell ref="D52:V52"/>
    <mergeCell ref="F27:F28"/>
    <mergeCell ref="D54:V54"/>
    <mergeCell ref="D53:V53"/>
    <mergeCell ref="F48:F49"/>
    <mergeCell ref="V48:V49"/>
    <mergeCell ref="B42:V42"/>
    <mergeCell ref="N37:N38"/>
    <mergeCell ref="V27:V28"/>
    <mergeCell ref="N27:N28"/>
    <mergeCell ref="N35:N36"/>
    <mergeCell ref="R27:R28"/>
    <mergeCell ref="R35:R36"/>
    <mergeCell ref="C1:L1"/>
    <mergeCell ref="C3:H3"/>
    <mergeCell ref="C4:H4"/>
    <mergeCell ref="C2:V2"/>
    <mergeCell ref="V18:V19"/>
    <mergeCell ref="N18:N19"/>
    <mergeCell ref="R18:R19"/>
    <mergeCell ref="F8:V8"/>
    <mergeCell ref="F18:F19"/>
    <mergeCell ref="J18:J19"/>
    <mergeCell ref="J27:J28"/>
    <mergeCell ref="V35:V36"/>
    <mergeCell ref="F35:F36"/>
    <mergeCell ref="V37:V38"/>
    <mergeCell ref="F37:F38"/>
    <mergeCell ref="R37:R38"/>
    <mergeCell ref="J48:J49"/>
    <mergeCell ref="N48:N49"/>
    <mergeCell ref="R48:R49"/>
    <mergeCell ref="J35:J36"/>
    <mergeCell ref="J37:J38"/>
  </mergeCells>
  <phoneticPr fontId="2" type="noConversion"/>
  <conditionalFormatting sqref="J13">
    <cfRule type="cellIs" dxfId="65" priority="1" stopIfTrue="1" operator="equal">
      <formula>""</formula>
    </cfRule>
  </conditionalFormatting>
  <conditionalFormatting sqref="N13 R13">
    <cfRule type="cellIs" dxfId="64" priority="2" stopIfTrue="1" operator="equal">
      <formula>""</formula>
    </cfRule>
  </conditionalFormatting>
  <pageMargins left="0.31496062992125984" right="0.31496062992125984" top="0.74803149606299213" bottom="0.74803149606299213" header="0.31496062992125984" footer="0.31496062992125984"/>
  <pageSetup scale="7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92D050"/>
    <pageSetUpPr fitToPage="1"/>
  </sheetPr>
  <dimension ref="B1:U53"/>
  <sheetViews>
    <sheetView showGridLines="0" view="pageBreakPreview" topLeftCell="A13" zoomScaleNormal="100" zoomScaleSheetLayoutView="100" workbookViewId="0">
      <selection activeCell="J29" sqref="J29"/>
    </sheetView>
  </sheetViews>
  <sheetFormatPr defaultColWidth="9.140625" defaultRowHeight="12.75" x14ac:dyDescent="0.2"/>
  <cols>
    <col min="1" max="1" width="1.7109375" style="5" customWidth="1"/>
    <col min="2" max="2" width="5.85546875" style="5" customWidth="1"/>
    <col min="3" max="3" width="5.7109375" style="5" customWidth="1"/>
    <col min="4" max="4" width="22.28515625" style="5" customWidth="1"/>
    <col min="5" max="5" width="15.28515625" style="5" customWidth="1"/>
    <col min="6" max="6" width="1.7109375" style="5" customWidth="1"/>
    <col min="7" max="7" width="15.7109375" style="5" customWidth="1"/>
    <col min="8" max="8" width="1.7109375" style="5" customWidth="1"/>
    <col min="9" max="9" width="3.42578125" style="5" customWidth="1"/>
    <col min="10" max="10" width="1.7109375" style="5" customWidth="1"/>
    <col min="11" max="11" width="15.7109375" style="5" customWidth="1"/>
    <col min="12" max="12" width="1.7109375" style="5" customWidth="1"/>
    <col min="13" max="13" width="3.42578125" style="5" customWidth="1"/>
    <col min="14" max="14" width="1.7109375" style="5" customWidth="1"/>
    <col min="15" max="15" width="15.7109375" style="5" customWidth="1"/>
    <col min="16" max="16" width="1.28515625" style="5" customWidth="1"/>
    <col min="17" max="17" width="5.7109375" style="5" customWidth="1"/>
    <col min="18" max="18" width="8.28515625" style="5" customWidth="1"/>
    <col min="19" max="16384" width="9.140625" style="5"/>
  </cols>
  <sheetData>
    <row r="1" spans="2:16" s="2" customFormat="1" ht="21.75" x14ac:dyDescent="0.2">
      <c r="D1" s="773"/>
      <c r="E1" s="773"/>
      <c r="F1" s="773"/>
      <c r="G1" s="773"/>
      <c r="H1" s="773"/>
      <c r="I1" s="773"/>
      <c r="J1" s="773"/>
      <c r="K1" s="773"/>
      <c r="L1" s="773"/>
      <c r="M1" s="773"/>
      <c r="N1" s="1"/>
      <c r="O1" s="143"/>
      <c r="P1" s="143"/>
    </row>
    <row r="2" spans="2:16" s="2" customFormat="1" ht="18" x14ac:dyDescent="0.25">
      <c r="C2" s="778"/>
      <c r="D2" s="778"/>
      <c r="E2" s="778"/>
      <c r="F2" s="778"/>
      <c r="G2" s="778"/>
      <c r="H2" s="778"/>
      <c r="I2" s="778"/>
      <c r="J2" s="778"/>
      <c r="K2" s="778"/>
      <c r="L2" s="778"/>
      <c r="M2" s="778"/>
      <c r="N2" s="778"/>
      <c r="O2" s="778"/>
      <c r="P2" s="35"/>
    </row>
    <row r="3" spans="2:16" s="2" customFormat="1" ht="18" x14ac:dyDescent="0.25">
      <c r="C3" s="778"/>
      <c r="D3" s="778"/>
      <c r="E3" s="778"/>
      <c r="F3" s="778"/>
      <c r="G3" s="778"/>
      <c r="H3" s="35"/>
      <c r="I3" s="35"/>
      <c r="J3" s="35"/>
      <c r="K3" s="35"/>
      <c r="L3" s="32"/>
      <c r="M3" s="32"/>
      <c r="N3" s="32"/>
      <c r="O3" s="32"/>
      <c r="P3" s="32"/>
    </row>
    <row r="4" spans="2:16" s="2" customFormat="1" ht="18" x14ac:dyDescent="0.25">
      <c r="C4" s="778"/>
      <c r="D4" s="778"/>
      <c r="E4" s="778"/>
      <c r="F4" s="778"/>
      <c r="G4" s="778"/>
      <c r="H4" s="35"/>
      <c r="I4" s="35"/>
      <c r="J4" s="35"/>
      <c r="K4" s="35"/>
      <c r="L4" s="32"/>
      <c r="M4" s="32"/>
      <c r="N4" s="32"/>
      <c r="O4" s="32"/>
      <c r="P4" s="32"/>
    </row>
    <row r="5" spans="2:16" s="2" customFormat="1" ht="15.75" x14ac:dyDescent="0.25">
      <c r="C5" s="32"/>
      <c r="D5" s="32"/>
      <c r="E5" s="96"/>
      <c r="F5" s="96"/>
      <c r="G5" s="32"/>
      <c r="H5" s="32"/>
      <c r="I5" s="32"/>
      <c r="J5" s="32"/>
      <c r="K5" s="32"/>
      <c r="L5" s="32"/>
      <c r="M5" s="32"/>
      <c r="N5" s="32"/>
      <c r="O5" s="32"/>
      <c r="P5" s="32"/>
    </row>
    <row r="6" spans="2:16" s="2" customFormat="1" ht="36.75" customHeight="1" x14ac:dyDescent="0.2"/>
    <row r="8" spans="2:16" ht="15.75" x14ac:dyDescent="0.25">
      <c r="P8" s="58"/>
    </row>
    <row r="9" spans="2:16" ht="15.75" x14ac:dyDescent="0.25">
      <c r="B9" s="818" t="s">
        <v>6</v>
      </c>
      <c r="C9" s="818"/>
      <c r="D9" s="818"/>
      <c r="E9" s="818"/>
      <c r="F9" s="818"/>
      <c r="G9" s="818"/>
      <c r="H9" s="818"/>
      <c r="I9" s="818"/>
      <c r="J9" s="818"/>
      <c r="K9" s="818"/>
      <c r="L9" s="818"/>
      <c r="M9" s="818"/>
      <c r="P9" s="58"/>
    </row>
    <row r="10" spans="2:16" ht="15.75" x14ac:dyDescent="0.25">
      <c r="P10" s="58"/>
    </row>
    <row r="11" spans="2:16" ht="15.75" x14ac:dyDescent="0.25">
      <c r="P11" s="58"/>
    </row>
    <row r="12" spans="2:16" ht="25.5" x14ac:dyDescent="0.2">
      <c r="B12" s="375" t="s">
        <v>37</v>
      </c>
      <c r="D12" s="41" t="s">
        <v>59</v>
      </c>
      <c r="E12" s="43"/>
      <c r="F12" s="43"/>
      <c r="G12" s="298" t="s">
        <v>4</v>
      </c>
      <c r="H12" s="299"/>
      <c r="I12" s="299"/>
      <c r="J12" s="299"/>
      <c r="K12" s="300" t="str">
        <f>IF(ISBLANK('3. Data_Input_Sheet'!M12),"",'3. Data_Input_Sheet'!M12)</f>
        <v/>
      </c>
      <c r="L12" s="299"/>
      <c r="M12" s="299"/>
      <c r="N12" s="299"/>
      <c r="O12" s="300" t="str">
        <f>'3. Data_Input_Sheet'!U12</f>
        <v>Per Board Decision</v>
      </c>
      <c r="P12" s="141"/>
    </row>
    <row r="13" spans="2:16" x14ac:dyDescent="0.2">
      <c r="B13" s="295"/>
      <c r="F13" s="33"/>
      <c r="L13" s="33"/>
      <c r="M13" s="33"/>
      <c r="N13" s="33"/>
    </row>
    <row r="14" spans="2:16" x14ac:dyDescent="0.2">
      <c r="B14" s="295"/>
      <c r="D14" s="22" t="s">
        <v>28</v>
      </c>
      <c r="E14" s="97"/>
      <c r="F14" s="98"/>
      <c r="G14" s="97"/>
      <c r="H14" s="97"/>
      <c r="I14" s="97"/>
      <c r="J14" s="97"/>
      <c r="K14" s="97"/>
      <c r="L14" s="98"/>
      <c r="M14" s="98"/>
      <c r="N14" s="98"/>
      <c r="O14" s="97"/>
      <c r="P14" s="97"/>
    </row>
    <row r="15" spans="2:16" x14ac:dyDescent="0.2">
      <c r="B15" s="295"/>
      <c r="F15" s="33"/>
      <c r="L15" s="33"/>
      <c r="M15" s="33"/>
      <c r="N15" s="33"/>
    </row>
    <row r="16" spans="2:16" x14ac:dyDescent="0.2">
      <c r="B16" s="342">
        <v>1</v>
      </c>
      <c r="D16" s="789" t="s">
        <v>145</v>
      </c>
      <c r="E16" s="789"/>
      <c r="F16" s="33"/>
      <c r="G16" s="244">
        <f>'7. Cost_of_Capital'!P22</f>
        <v>3934446.4865489602</v>
      </c>
      <c r="H16" s="244"/>
      <c r="I16" s="244"/>
      <c r="J16" s="244"/>
      <c r="K16" s="244">
        <f>'7. Cost_of_Capital'!P38</f>
        <v>3934446.4865489602</v>
      </c>
      <c r="L16" s="250"/>
      <c r="M16" s="250"/>
      <c r="N16" s="250"/>
      <c r="O16" s="244">
        <f>'7. Cost_of_Capital'!P54</f>
        <v>3934446.4865489602</v>
      </c>
      <c r="P16" s="99"/>
    </row>
    <row r="17" spans="2:21" x14ac:dyDescent="0.2">
      <c r="B17" s="342"/>
      <c r="F17" s="33"/>
      <c r="G17" s="251"/>
      <c r="H17" s="251"/>
      <c r="I17" s="251"/>
      <c r="J17" s="251"/>
      <c r="K17" s="251"/>
      <c r="L17" s="250"/>
      <c r="M17" s="250"/>
      <c r="N17" s="250"/>
      <c r="O17" s="251"/>
      <c r="P17" s="52"/>
    </row>
    <row r="18" spans="2:21" ht="24.75" customHeight="1" x14ac:dyDescent="0.2">
      <c r="B18" s="342">
        <v>2</v>
      </c>
      <c r="D18" s="819" t="s">
        <v>29</v>
      </c>
      <c r="E18" s="819"/>
      <c r="F18" s="33"/>
      <c r="G18" s="243">
        <f>'3. Data_Input_Sheet'!E44</f>
        <v>-2021577.474419333</v>
      </c>
      <c r="H18" s="244"/>
      <c r="I18" s="352"/>
      <c r="J18" s="244"/>
      <c r="K18" s="243">
        <f>'3. Data_Input_Sheet'!M44</f>
        <v>-2021577.474419333</v>
      </c>
      <c r="L18" s="234"/>
      <c r="M18" s="352"/>
      <c r="N18" s="234"/>
      <c r="O18" s="243">
        <f>IF(ISBLANK('3. Data_Input_Sheet'!U44),K18,'3. Data_Input_Sheet'!U44)</f>
        <v>-2021577.474419333</v>
      </c>
      <c r="P18" s="99"/>
      <c r="Q18" s="352"/>
    </row>
    <row r="19" spans="2:21" x14ac:dyDescent="0.2">
      <c r="B19" s="342"/>
      <c r="F19" s="33"/>
      <c r="G19" s="251"/>
      <c r="H19" s="251"/>
      <c r="I19" s="251"/>
      <c r="J19" s="251"/>
      <c r="K19" s="251"/>
      <c r="L19" s="250"/>
      <c r="M19" s="250"/>
      <c r="N19" s="250"/>
      <c r="O19" s="251"/>
      <c r="P19" s="52"/>
    </row>
    <row r="20" spans="2:21" ht="13.5" thickBot="1" x14ac:dyDescent="0.25">
      <c r="B20" s="342">
        <v>3</v>
      </c>
      <c r="D20" s="789" t="s">
        <v>30</v>
      </c>
      <c r="E20" s="789"/>
      <c r="F20" s="33"/>
      <c r="G20" s="252">
        <f>G16+G18</f>
        <v>1912869.0121296272</v>
      </c>
      <c r="H20" s="253"/>
      <c r="I20" s="253"/>
      <c r="J20" s="253"/>
      <c r="K20" s="252">
        <f>K16+K18</f>
        <v>1912869.0121296272</v>
      </c>
      <c r="L20" s="250"/>
      <c r="M20" s="250"/>
      <c r="N20" s="250"/>
      <c r="O20" s="252">
        <f>O16+O18</f>
        <v>1912869.0121296272</v>
      </c>
      <c r="P20" s="157"/>
    </row>
    <row r="21" spans="2:21" ht="13.5" thickTop="1" x14ac:dyDescent="0.2">
      <c r="B21" s="342"/>
      <c r="F21" s="33"/>
      <c r="G21" s="251"/>
      <c r="H21" s="251"/>
      <c r="I21" s="251"/>
      <c r="J21" s="251"/>
      <c r="K21" s="251"/>
      <c r="L21" s="250"/>
      <c r="M21" s="250"/>
      <c r="N21" s="250"/>
      <c r="O21" s="251"/>
      <c r="P21" s="52"/>
    </row>
    <row r="22" spans="2:21" x14ac:dyDescent="0.2">
      <c r="B22" s="342"/>
      <c r="D22" s="26" t="s">
        <v>31</v>
      </c>
      <c r="E22" s="102"/>
      <c r="F22" s="103"/>
      <c r="G22" s="254"/>
      <c r="H22" s="254"/>
      <c r="I22" s="254"/>
      <c r="J22" s="254"/>
      <c r="K22" s="254"/>
      <c r="L22" s="255"/>
      <c r="M22" s="255"/>
      <c r="N22" s="255"/>
      <c r="O22" s="254"/>
      <c r="P22" s="104"/>
    </row>
    <row r="23" spans="2:21" x14ac:dyDescent="0.2">
      <c r="B23" s="342"/>
      <c r="C23" s="15"/>
      <c r="D23" s="15"/>
      <c r="E23" s="15"/>
      <c r="F23" s="88"/>
      <c r="G23" s="256"/>
      <c r="H23" s="256"/>
      <c r="I23" s="256"/>
      <c r="J23" s="256"/>
      <c r="K23" s="256"/>
      <c r="L23" s="250"/>
      <c r="M23" s="250"/>
      <c r="N23" s="250"/>
      <c r="O23" s="256"/>
      <c r="P23" s="105"/>
      <c r="Q23" s="15"/>
      <c r="R23" s="15"/>
      <c r="S23" s="15"/>
      <c r="T23" s="15"/>
      <c r="U23" s="15"/>
    </row>
    <row r="24" spans="2:21" x14ac:dyDescent="0.2">
      <c r="B24" s="342">
        <v>4</v>
      </c>
      <c r="C24" s="15"/>
      <c r="D24" s="15" t="s">
        <v>27</v>
      </c>
      <c r="E24" s="15"/>
      <c r="F24" s="88"/>
      <c r="G24" s="244">
        <f>'3. Data_Input_Sheet'!E46</f>
        <v>502824.80621435074</v>
      </c>
      <c r="H24" s="244"/>
      <c r="I24" s="352"/>
      <c r="J24" s="244"/>
      <c r="K24" s="244">
        <f>IF(ISBLANK('3. Data_Input_Sheet'!M46),'6. Taxes_PILs'!G24,'3. Data_Input_Sheet'!M46)</f>
        <v>502824.80621435074</v>
      </c>
      <c r="L24" s="234"/>
      <c r="M24" s="352"/>
      <c r="N24" s="234"/>
      <c r="O24" s="244">
        <f>IF(ISBLANK('3. Data_Input_Sheet'!U46),'6. Taxes_PILs'!K24,'3. Data_Input_Sheet'!U46)</f>
        <v>502824.80621435074</v>
      </c>
      <c r="P24" s="106"/>
      <c r="Q24" s="352"/>
      <c r="R24" s="15"/>
      <c r="S24" s="15"/>
      <c r="T24" s="15"/>
      <c r="U24" s="15"/>
    </row>
    <row r="25" spans="2:21" ht="3" customHeight="1" x14ac:dyDescent="0.2">
      <c r="B25" s="377">
        <v>5</v>
      </c>
      <c r="C25" s="305"/>
      <c r="D25" s="305" t="s">
        <v>43</v>
      </c>
      <c r="E25" s="305"/>
      <c r="F25" s="306"/>
      <c r="G25" s="307">
        <f>'3. Data_Input_Sheet'!E48</f>
        <v>0</v>
      </c>
      <c r="H25" s="308"/>
      <c r="I25" s="309"/>
      <c r="J25" s="308"/>
      <c r="K25" s="307">
        <f>IF(ISBLANK('3. Data_Input_Sheet'!M48),'6. Taxes_PILs'!G25,'3. Data_Input_Sheet'!M48)</f>
        <v>0</v>
      </c>
      <c r="L25" s="310"/>
      <c r="M25" s="311"/>
      <c r="N25" s="310"/>
      <c r="O25" s="307">
        <f>IF(ISBLANK('3. Data_Input_Sheet'!U48),'6. Taxes_PILs'!K25,'3. Data_Input_Sheet'!U48)</f>
        <v>0</v>
      </c>
      <c r="P25" s="312"/>
      <c r="Q25" s="313"/>
    </row>
    <row r="26" spans="2:21" x14ac:dyDescent="0.2">
      <c r="B26" s="342"/>
      <c r="F26" s="33"/>
      <c r="G26" s="797">
        <f>SUM(G24:G25)</f>
        <v>502824.80621435074</v>
      </c>
      <c r="H26" s="48"/>
      <c r="I26" s="48"/>
      <c r="J26" s="48"/>
      <c r="K26" s="797">
        <f>SUM(K24:K25)</f>
        <v>502824.80621435074</v>
      </c>
      <c r="L26" s="107"/>
      <c r="M26" s="107"/>
      <c r="N26" s="159"/>
      <c r="O26" s="797">
        <f>SUM(O24:O25)</f>
        <v>502824.80621435074</v>
      </c>
      <c r="P26" s="48"/>
    </row>
    <row r="27" spans="2:21" ht="13.5" thickBot="1" x14ac:dyDescent="0.25">
      <c r="B27" s="342">
        <v>6</v>
      </c>
      <c r="D27" s="5" t="s">
        <v>32</v>
      </c>
      <c r="F27" s="33"/>
      <c r="G27" s="798"/>
      <c r="H27" s="48"/>
      <c r="I27" s="48"/>
      <c r="J27" s="48"/>
      <c r="K27" s="798"/>
      <c r="L27" s="107"/>
      <c r="M27" s="107"/>
      <c r="N27" s="159"/>
      <c r="O27" s="798"/>
      <c r="P27" s="48"/>
    </row>
    <row r="28" spans="2:21" ht="13.5" thickTop="1" x14ac:dyDescent="0.2">
      <c r="B28" s="342"/>
      <c r="F28" s="33"/>
      <c r="G28" s="259"/>
      <c r="H28" s="259"/>
      <c r="I28" s="259"/>
      <c r="J28" s="259"/>
      <c r="K28" s="259"/>
      <c r="L28" s="250"/>
      <c r="M28" s="250"/>
      <c r="N28" s="236"/>
      <c r="O28" s="259"/>
      <c r="P28" s="108"/>
    </row>
    <row r="29" spans="2:21" x14ac:dyDescent="0.2">
      <c r="B29" s="342">
        <v>7</v>
      </c>
      <c r="D29" s="5" t="s">
        <v>96</v>
      </c>
      <c r="F29" s="33"/>
      <c r="G29" s="249">
        <f>(G24/(1-G41))-G24</f>
        <v>181290.57639020809</v>
      </c>
      <c r="H29" s="248"/>
      <c r="I29" s="248"/>
      <c r="J29" s="248"/>
      <c r="K29" s="249">
        <f>(K24/(1-K41))-K24</f>
        <v>181290.57639020809</v>
      </c>
      <c r="L29" s="257"/>
      <c r="M29" s="257"/>
      <c r="N29" s="258"/>
      <c r="O29" s="249">
        <f>(O24/(1-O41))-O24</f>
        <v>181290.57639020809</v>
      </c>
      <c r="P29" s="48"/>
    </row>
    <row r="30" spans="2:21" x14ac:dyDescent="0.2">
      <c r="B30" s="342"/>
      <c r="F30" s="33"/>
      <c r="G30" s="248"/>
      <c r="H30" s="248"/>
      <c r="I30" s="248"/>
      <c r="J30" s="248"/>
      <c r="K30" s="248"/>
      <c r="L30" s="257"/>
      <c r="M30" s="257"/>
      <c r="N30" s="258"/>
      <c r="O30" s="248"/>
      <c r="P30" s="48"/>
    </row>
    <row r="31" spans="2:21" ht="13.5" thickBot="1" x14ac:dyDescent="0.25">
      <c r="B31" s="342">
        <v>8</v>
      </c>
      <c r="D31" s="5" t="s">
        <v>106</v>
      </c>
      <c r="F31" s="33"/>
      <c r="G31" s="260">
        <f>G24+G29</f>
        <v>684115.38260455884</v>
      </c>
      <c r="H31" s="248"/>
      <c r="I31" s="248"/>
      <c r="J31" s="248"/>
      <c r="K31" s="260">
        <f>K24+K29</f>
        <v>684115.38260455884</v>
      </c>
      <c r="L31" s="257"/>
      <c r="M31" s="257"/>
      <c r="N31" s="258"/>
      <c r="O31" s="260">
        <f>O24+O29</f>
        <v>684115.38260455884</v>
      </c>
      <c r="P31" s="48"/>
    </row>
    <row r="32" spans="2:21" ht="13.5" thickTop="1" x14ac:dyDescent="0.2">
      <c r="B32" s="342"/>
      <c r="F32" s="33"/>
      <c r="G32" s="248"/>
      <c r="H32" s="248"/>
      <c r="I32" s="248"/>
      <c r="J32" s="248"/>
      <c r="K32" s="248"/>
      <c r="L32" s="257"/>
      <c r="M32" s="257"/>
      <c r="N32" s="258"/>
      <c r="O32" s="248"/>
      <c r="P32" s="48"/>
    </row>
    <row r="33" spans="2:17" ht="25.5" customHeight="1" thickBot="1" x14ac:dyDescent="0.25">
      <c r="B33" s="342">
        <v>9</v>
      </c>
      <c r="D33" s="792" t="s">
        <v>107</v>
      </c>
      <c r="E33" s="792"/>
      <c r="F33" s="33"/>
      <c r="G33" s="138">
        <f>G26+G29</f>
        <v>684115.38260455884</v>
      </c>
      <c r="H33" s="48"/>
      <c r="I33" s="48"/>
      <c r="J33" s="48"/>
      <c r="K33" s="138">
        <f>K29+K26</f>
        <v>684115.38260455884</v>
      </c>
      <c r="L33" s="107"/>
      <c r="M33" s="107"/>
      <c r="N33" s="159"/>
      <c r="O33" s="138">
        <f>O29+O26</f>
        <v>684115.38260455884</v>
      </c>
      <c r="P33" s="48"/>
    </row>
    <row r="34" spans="2:17" ht="12.75" customHeight="1" thickTop="1" x14ac:dyDescent="0.2">
      <c r="B34" s="342"/>
      <c r="D34" s="27"/>
      <c r="E34" s="27"/>
      <c r="F34" s="33"/>
      <c r="G34" s="248"/>
      <c r="H34" s="248"/>
      <c r="I34" s="248"/>
      <c r="J34" s="248"/>
      <c r="K34" s="248"/>
      <c r="L34" s="257"/>
      <c r="M34" s="257"/>
      <c r="N34" s="258"/>
      <c r="O34" s="248"/>
      <c r="P34" s="48"/>
    </row>
    <row r="35" spans="2:17" ht="14.25" customHeight="1" x14ac:dyDescent="0.2">
      <c r="B35" s="342">
        <v>10</v>
      </c>
      <c r="D35" s="27" t="s">
        <v>131</v>
      </c>
      <c r="E35" s="27"/>
      <c r="F35" s="33"/>
      <c r="G35" s="248">
        <f>'3. Data_Input_Sheet'!E51</f>
        <v>-4085.482</v>
      </c>
      <c r="H35" s="248"/>
      <c r="I35" s="352"/>
      <c r="J35" s="248"/>
      <c r="K35" s="248">
        <f>IF(ISBLANK('3. Data_Input_Sheet'!M51),G35,'3. Data_Input_Sheet'!M51)</f>
        <v>-4085.482</v>
      </c>
      <c r="L35" s="234"/>
      <c r="M35" s="352"/>
      <c r="N35" s="261"/>
      <c r="O35" s="248">
        <f>IF(ISBLANK('3. Data_Input_Sheet'!U51),K35,'3. Data_Input_Sheet'!U51)</f>
        <v>-4085.482</v>
      </c>
      <c r="P35" s="48"/>
      <c r="Q35" s="352"/>
    </row>
    <row r="36" spans="2:17" x14ac:dyDescent="0.2">
      <c r="B36" s="342"/>
      <c r="F36" s="33"/>
      <c r="L36" s="29"/>
      <c r="M36" s="33"/>
      <c r="N36" s="29"/>
    </row>
    <row r="37" spans="2:17" x14ac:dyDescent="0.2">
      <c r="B37" s="342"/>
      <c r="D37" s="26" t="s">
        <v>33</v>
      </c>
      <c r="E37" s="109"/>
      <c r="F37" s="110"/>
      <c r="G37" s="109"/>
      <c r="H37" s="109"/>
      <c r="I37" s="109"/>
      <c r="J37" s="109"/>
      <c r="L37" s="160"/>
      <c r="M37" s="110"/>
      <c r="N37" s="160"/>
    </row>
    <row r="38" spans="2:17" x14ac:dyDescent="0.2">
      <c r="B38" s="342"/>
      <c r="F38" s="33"/>
      <c r="G38" s="111"/>
      <c r="H38" s="111"/>
      <c r="I38" s="111"/>
      <c r="J38" s="111"/>
      <c r="K38" s="113"/>
      <c r="L38" s="161"/>
      <c r="M38" s="112"/>
      <c r="N38" s="161"/>
      <c r="O38" s="113"/>
      <c r="P38" s="113"/>
    </row>
    <row r="39" spans="2:17" x14ac:dyDescent="0.2">
      <c r="B39" s="342">
        <v>11</v>
      </c>
      <c r="D39" s="5" t="s">
        <v>136</v>
      </c>
      <c r="F39" s="33"/>
      <c r="G39" s="79">
        <f>'3. Data_Input_Sheet'!E49</f>
        <v>0.15</v>
      </c>
      <c r="H39" s="79"/>
      <c r="I39" s="352"/>
      <c r="J39" s="79"/>
      <c r="K39" s="114">
        <f>IF(ISBLANK('3. Data_Input_Sheet'!M49),G39,'3. Data_Input_Sheet'!M49)</f>
        <v>0.15</v>
      </c>
      <c r="L39" s="175"/>
      <c r="M39" s="352"/>
      <c r="N39" s="175"/>
      <c r="O39" s="114">
        <f>IF(ISBLANK('3. Data_Input_Sheet'!U49),K39,'3. Data_Input_Sheet'!U49)</f>
        <v>0.15</v>
      </c>
      <c r="P39" s="114"/>
      <c r="Q39" s="352"/>
    </row>
    <row r="40" spans="2:17" x14ac:dyDescent="0.2">
      <c r="B40" s="342">
        <v>12</v>
      </c>
      <c r="D40" s="5" t="s">
        <v>137</v>
      </c>
      <c r="F40" s="33"/>
      <c r="G40" s="80">
        <f>'3. Data_Input_Sheet'!E50</f>
        <v>0.115</v>
      </c>
      <c r="H40" s="79"/>
      <c r="I40" s="352"/>
      <c r="J40" s="79"/>
      <c r="K40" s="92">
        <f>IF(ISBLANK('3. Data_Input_Sheet'!M50),G40,'3. Data_Input_Sheet'!M50)</f>
        <v>0.115</v>
      </c>
      <c r="L40" s="175"/>
      <c r="M40" s="352"/>
      <c r="N40" s="175"/>
      <c r="O40" s="92">
        <f>IF(ISBLANK('3. Data_Input_Sheet'!U50),K40,'3. Data_Input_Sheet'!U50)</f>
        <v>0.115</v>
      </c>
      <c r="P40" s="91"/>
      <c r="Q40" s="352"/>
    </row>
    <row r="41" spans="2:17" ht="13.5" thickBot="1" x14ac:dyDescent="0.25">
      <c r="B41" s="342">
        <v>13</v>
      </c>
      <c r="D41" s="5" t="s">
        <v>138</v>
      </c>
      <c r="F41" s="33"/>
      <c r="G41" s="115">
        <f>G39+G40</f>
        <v>0.26500000000000001</v>
      </c>
      <c r="H41" s="158"/>
      <c r="I41" s="158"/>
      <c r="J41" s="158"/>
      <c r="K41" s="117">
        <f>K39+K40</f>
        <v>0.26500000000000001</v>
      </c>
      <c r="L41" s="116"/>
      <c r="M41" s="116"/>
      <c r="N41" s="116"/>
      <c r="O41" s="117">
        <f>O39+O40</f>
        <v>0.26500000000000001</v>
      </c>
      <c r="P41" s="90"/>
    </row>
    <row r="42" spans="2:17" ht="13.5" thickTop="1" x14ac:dyDescent="0.2">
      <c r="F42" s="33"/>
      <c r="L42" s="33"/>
      <c r="M42" s="33"/>
      <c r="N42" s="33"/>
    </row>
    <row r="43" spans="2:17" x14ac:dyDescent="0.2">
      <c r="L43" s="33"/>
      <c r="M43" s="33"/>
      <c r="N43" s="33"/>
    </row>
    <row r="44" spans="2:17" x14ac:dyDescent="0.2">
      <c r="B44" s="817" t="s">
        <v>38</v>
      </c>
      <c r="C44" s="817"/>
      <c r="D44" s="817"/>
      <c r="E44" s="817"/>
      <c r="F44" s="817"/>
      <c r="G44" s="817"/>
      <c r="H44" s="817"/>
      <c r="I44" s="817"/>
      <c r="J44" s="817"/>
      <c r="K44" s="817"/>
      <c r="L44" s="817"/>
      <c r="M44" s="817"/>
      <c r="N44" s="817"/>
      <c r="O44" s="817"/>
      <c r="P44" s="153"/>
    </row>
    <row r="45" spans="2:17" ht="12.75" customHeight="1" x14ac:dyDescent="0.2">
      <c r="B45" s="314"/>
      <c r="C45" s="315"/>
      <c r="D45" s="816" t="s">
        <v>148</v>
      </c>
      <c r="E45" s="816"/>
      <c r="F45" s="816"/>
      <c r="G45" s="816"/>
      <c r="H45" s="816"/>
      <c r="I45" s="816"/>
      <c r="J45" s="816"/>
      <c r="K45" s="816"/>
      <c r="L45" s="816"/>
      <c r="M45" s="816"/>
      <c r="N45" s="816"/>
      <c r="O45" s="816"/>
      <c r="P45" s="172"/>
    </row>
    <row r="46" spans="2:17" x14ac:dyDescent="0.2">
      <c r="B46" s="358"/>
      <c r="D46" s="794"/>
      <c r="E46" s="794"/>
      <c r="F46" s="794"/>
      <c r="G46" s="794"/>
      <c r="H46" s="794"/>
      <c r="I46" s="794"/>
      <c r="J46" s="794"/>
      <c r="K46" s="794"/>
      <c r="L46" s="794"/>
      <c r="M46" s="794"/>
      <c r="N46" s="794"/>
      <c r="O46" s="794"/>
      <c r="P46" s="172"/>
    </row>
    <row r="47" spans="2:17" x14ac:dyDescent="0.2">
      <c r="B47" s="358"/>
      <c r="D47" s="357"/>
      <c r="E47" s="357"/>
      <c r="F47" s="357"/>
      <c r="G47" s="357"/>
      <c r="H47" s="357"/>
      <c r="I47" s="357"/>
      <c r="J47" s="357"/>
      <c r="K47" s="357"/>
      <c r="L47" s="357"/>
      <c r="M47" s="357"/>
      <c r="N47" s="357"/>
      <c r="O47" s="357"/>
      <c r="P47" s="172"/>
    </row>
    <row r="48" spans="2:17" x14ac:dyDescent="0.2">
      <c r="B48" s="358"/>
      <c r="D48" s="357"/>
      <c r="E48" s="357"/>
      <c r="F48" s="357"/>
      <c r="G48" s="357"/>
      <c r="H48" s="357"/>
      <c r="I48" s="357"/>
      <c r="J48" s="357"/>
      <c r="K48" s="357"/>
      <c r="L48" s="357"/>
      <c r="M48" s="357"/>
      <c r="N48" s="357"/>
      <c r="O48" s="357"/>
      <c r="P48" s="172"/>
    </row>
    <row r="49" spans="2:16" x14ac:dyDescent="0.2">
      <c r="B49" s="358"/>
      <c r="D49" s="357"/>
      <c r="E49" s="357"/>
      <c r="F49" s="357"/>
      <c r="G49" s="357"/>
      <c r="H49" s="357"/>
      <c r="I49" s="357"/>
      <c r="J49" s="357"/>
      <c r="K49" s="357"/>
      <c r="L49" s="357"/>
      <c r="M49" s="357"/>
      <c r="N49" s="357"/>
      <c r="O49" s="357"/>
      <c r="P49" s="172"/>
    </row>
    <row r="50" spans="2:16" x14ac:dyDescent="0.2">
      <c r="B50" s="358"/>
      <c r="D50" s="794"/>
      <c r="E50" s="794"/>
      <c r="F50" s="794"/>
      <c r="G50" s="794"/>
      <c r="H50" s="794"/>
      <c r="I50" s="794"/>
      <c r="J50" s="794"/>
      <c r="K50" s="794"/>
      <c r="L50" s="794"/>
      <c r="M50" s="794"/>
      <c r="N50" s="794"/>
      <c r="O50" s="794"/>
      <c r="P50" s="172"/>
    </row>
    <row r="51" spans="2:16" x14ac:dyDescent="0.2">
      <c r="B51" s="358"/>
      <c r="D51" s="794"/>
      <c r="E51" s="794"/>
      <c r="F51" s="794"/>
      <c r="G51" s="794"/>
      <c r="H51" s="794"/>
      <c r="I51" s="794"/>
      <c r="J51" s="794"/>
      <c r="K51" s="794"/>
      <c r="L51" s="794"/>
      <c r="M51" s="794"/>
      <c r="N51" s="794"/>
      <c r="O51" s="794"/>
      <c r="P51" s="172"/>
    </row>
    <row r="52" spans="2:16" x14ac:dyDescent="0.2">
      <c r="B52" s="358"/>
      <c r="D52" s="794"/>
      <c r="E52" s="794"/>
      <c r="F52" s="794"/>
      <c r="G52" s="794"/>
      <c r="H52" s="794"/>
      <c r="I52" s="794"/>
      <c r="J52" s="794"/>
      <c r="K52" s="794"/>
      <c r="L52" s="794"/>
      <c r="M52" s="794"/>
      <c r="N52" s="794"/>
      <c r="O52" s="794"/>
      <c r="P52" s="172"/>
    </row>
    <row r="53" spans="2:16" x14ac:dyDescent="0.2">
      <c r="B53" s="358"/>
      <c r="D53" s="794"/>
      <c r="E53" s="794"/>
      <c r="F53" s="794"/>
      <c r="G53" s="794"/>
      <c r="H53" s="794"/>
      <c r="I53" s="794"/>
      <c r="J53" s="794"/>
      <c r="K53" s="794"/>
      <c r="L53" s="794"/>
      <c r="M53" s="794"/>
      <c r="N53" s="794"/>
      <c r="O53" s="794"/>
      <c r="P53" s="172"/>
    </row>
  </sheetData>
  <sheetProtection algorithmName="SHA-512" hashValue="ERfX7zQbPBeGk4Fy10uprrfZhUvDr0rBth3qGDjcnAnEQ/4iJfpZ+Br92TMTi4mbqg8kpClWtkyEOWi5ANRBJg==" saltValue="i2tm9XG5javKbriQvVwa1Q==" spinCount="100000" sheet="1" objects="1" scenarios="1"/>
  <mergeCells count="19">
    <mergeCell ref="D1:M1"/>
    <mergeCell ref="C3:G3"/>
    <mergeCell ref="C4:G4"/>
    <mergeCell ref="C2:O2"/>
    <mergeCell ref="B44:O44"/>
    <mergeCell ref="B9:M9"/>
    <mergeCell ref="G26:G27"/>
    <mergeCell ref="O26:O27"/>
    <mergeCell ref="D16:E16"/>
    <mergeCell ref="D18:E18"/>
    <mergeCell ref="D20:E20"/>
    <mergeCell ref="D33:E33"/>
    <mergeCell ref="K26:K27"/>
    <mergeCell ref="D45:O45"/>
    <mergeCell ref="D52:O52"/>
    <mergeCell ref="D53:O53"/>
    <mergeCell ref="D46:O46"/>
    <mergeCell ref="D50:O50"/>
    <mergeCell ref="D51:O51"/>
  </mergeCells>
  <phoneticPr fontId="2" type="noConversion"/>
  <conditionalFormatting sqref="K12">
    <cfRule type="cellIs" dxfId="63" priority="1" stopIfTrue="1" operator="equal">
      <formula>""</formula>
    </cfRule>
  </conditionalFormatting>
  <pageMargins left="0.31496062992125984" right="0.31496062992125984" top="0.74803149606299213" bottom="0.74803149606299213" header="0.31496062992125984" footer="0.31496062992125984"/>
  <pageSetup scale="7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92D050"/>
    <pageSetUpPr fitToPage="1"/>
  </sheetPr>
  <dimension ref="A1:R68"/>
  <sheetViews>
    <sheetView showGridLines="0" view="pageBreakPreview" topLeftCell="A34" zoomScaleNormal="100" zoomScaleSheetLayoutView="100" workbookViewId="0">
      <selection activeCell="J29" sqref="J29"/>
    </sheetView>
  </sheetViews>
  <sheetFormatPr defaultColWidth="9.140625" defaultRowHeight="12.75" x14ac:dyDescent="0.2"/>
  <cols>
    <col min="1" max="1" width="2.7109375" style="5" customWidth="1"/>
    <col min="2" max="2" width="5" style="5" customWidth="1"/>
    <col min="3" max="3" width="6.7109375" style="5" customWidth="1"/>
    <col min="4" max="4" width="17.28515625" style="5" customWidth="1"/>
    <col min="5" max="5" width="3.7109375" style="5" customWidth="1"/>
    <col min="6" max="6" width="9.28515625" style="5" customWidth="1"/>
    <col min="7" max="7" width="2.7109375" style="5" customWidth="1"/>
    <col min="8" max="8" width="3.7109375" style="5" customWidth="1"/>
    <col min="9" max="9" width="2.7109375" style="5" customWidth="1"/>
    <col min="10" max="10" width="18.7109375" style="5" customWidth="1"/>
    <col min="11" max="11" width="2.7109375" style="5" customWidth="1"/>
    <col min="12" max="12" width="9" style="5" customWidth="1"/>
    <col min="13" max="13" width="2.7109375" style="5" customWidth="1"/>
    <col min="14" max="14" width="3.85546875" style="5" customWidth="1"/>
    <col min="15" max="15" width="2.7109375" style="5" customWidth="1"/>
    <col min="16" max="16" width="16.7109375" style="5" customWidth="1"/>
    <col min="17" max="17" width="2.7109375" style="5" customWidth="1"/>
    <col min="18" max="18" width="2.85546875" style="5" customWidth="1"/>
    <col min="19" max="19" width="3" style="5" customWidth="1"/>
    <col min="20" max="20" width="4.140625" style="5" customWidth="1"/>
    <col min="21" max="16384" width="9.140625" style="5"/>
  </cols>
  <sheetData>
    <row r="1" spans="1:18" s="2" customFormat="1" ht="36.75" customHeight="1" x14ac:dyDescent="0.2">
      <c r="C1" s="823"/>
      <c r="D1" s="823"/>
      <c r="E1" s="823"/>
      <c r="F1" s="823"/>
      <c r="G1" s="823"/>
      <c r="H1" s="823"/>
      <c r="I1" s="823"/>
      <c r="J1" s="823"/>
      <c r="K1" s="823"/>
      <c r="L1" s="823"/>
      <c r="M1" s="823"/>
      <c r="N1" s="823"/>
      <c r="O1" s="150"/>
      <c r="P1" s="143"/>
    </row>
    <row r="2" spans="1:18" s="2" customFormat="1" ht="36.75" customHeight="1" x14ac:dyDescent="0.25">
      <c r="C2" s="824"/>
      <c r="D2" s="824"/>
      <c r="E2" s="824"/>
      <c r="F2" s="824"/>
      <c r="G2" s="824"/>
      <c r="H2" s="824"/>
      <c r="I2" s="824"/>
      <c r="J2" s="824"/>
      <c r="K2" s="824"/>
      <c r="L2" s="824"/>
      <c r="M2" s="824"/>
      <c r="N2" s="824"/>
      <c r="O2" s="824"/>
      <c r="P2" s="824"/>
      <c r="Q2" s="824"/>
      <c r="R2" s="824"/>
    </row>
    <row r="3" spans="1:18" s="2" customFormat="1" ht="36.75" customHeight="1" x14ac:dyDescent="0.25">
      <c r="C3" s="824"/>
      <c r="D3" s="824"/>
      <c r="E3" s="824"/>
      <c r="F3" s="824"/>
      <c r="G3" s="824"/>
      <c r="H3" s="824"/>
      <c r="I3" s="824"/>
      <c r="J3" s="824"/>
      <c r="K3" s="824"/>
      <c r="L3" s="824"/>
      <c r="M3" s="824"/>
      <c r="N3" s="824"/>
      <c r="O3" s="151"/>
    </row>
    <row r="4" spans="1:18" s="2" customFormat="1" ht="36.75" customHeight="1" x14ac:dyDescent="0.25">
      <c r="C4" s="824"/>
      <c r="D4" s="824"/>
      <c r="E4" s="824"/>
      <c r="F4" s="824"/>
      <c r="G4" s="824"/>
      <c r="H4" s="824"/>
      <c r="I4" s="824"/>
      <c r="J4" s="824"/>
      <c r="K4" s="37"/>
      <c r="L4" s="37"/>
      <c r="M4" s="37"/>
      <c r="N4" s="37"/>
      <c r="O4" s="37"/>
    </row>
    <row r="5" spans="1:18" s="2" customFormat="1" ht="36.75" customHeight="1" x14ac:dyDescent="0.2">
      <c r="B5" s="825" t="s">
        <v>50</v>
      </c>
      <c r="C5" s="825"/>
      <c r="D5" s="825"/>
      <c r="E5" s="825"/>
      <c r="F5" s="825"/>
      <c r="G5" s="825"/>
      <c r="H5" s="825"/>
      <c r="I5" s="825"/>
      <c r="J5" s="825"/>
      <c r="K5" s="825"/>
      <c r="L5" s="825"/>
      <c r="M5" s="825"/>
      <c r="N5" s="825"/>
    </row>
    <row r="6" spans="1:18" s="2" customFormat="1" ht="2.25" customHeight="1" x14ac:dyDescent="0.2"/>
    <row r="7" spans="1:18" ht="2.25" customHeight="1" x14ac:dyDescent="0.2"/>
    <row r="8" spans="1:18" ht="2.25" customHeight="1" x14ac:dyDescent="0.25">
      <c r="Q8" s="57"/>
    </row>
    <row r="9" spans="1:18" ht="2.25" customHeight="1" x14ac:dyDescent="0.2"/>
    <row r="10" spans="1:18" x14ac:dyDescent="0.2">
      <c r="C10" s="33"/>
      <c r="D10" s="33"/>
      <c r="E10" s="33"/>
      <c r="F10" s="33"/>
      <c r="G10" s="33"/>
      <c r="H10" s="33"/>
      <c r="I10" s="33"/>
      <c r="J10" s="33"/>
      <c r="K10" s="33"/>
      <c r="L10" s="33"/>
      <c r="M10" s="33"/>
      <c r="N10" s="33"/>
      <c r="O10" s="33"/>
      <c r="P10" s="33"/>
      <c r="Q10" s="33"/>
    </row>
    <row r="11" spans="1:18" ht="25.5" x14ac:dyDescent="0.2">
      <c r="A11" s="4"/>
      <c r="B11" s="40" t="s">
        <v>37</v>
      </c>
      <c r="C11" s="33"/>
      <c r="D11" s="41" t="s">
        <v>36</v>
      </c>
      <c r="E11" s="33"/>
      <c r="F11" s="826" t="s">
        <v>46</v>
      </c>
      <c r="G11" s="826"/>
      <c r="H11" s="826"/>
      <c r="I11" s="826"/>
      <c r="J11" s="826"/>
      <c r="K11" s="74"/>
      <c r="L11" s="41" t="s">
        <v>21</v>
      </c>
      <c r="M11" s="43"/>
      <c r="N11" s="33"/>
      <c r="O11" s="33"/>
      <c r="P11" s="41" t="s">
        <v>22</v>
      </c>
      <c r="Q11" s="33"/>
    </row>
    <row r="12" spans="1:18" x14ac:dyDescent="0.2">
      <c r="A12" s="4"/>
      <c r="B12" s="4"/>
      <c r="C12" s="33"/>
      <c r="D12" s="33"/>
      <c r="E12" s="33"/>
      <c r="F12" s="33"/>
      <c r="G12" s="33"/>
      <c r="H12" s="33"/>
      <c r="I12" s="33"/>
      <c r="J12" s="75"/>
      <c r="K12" s="75"/>
      <c r="L12" s="33"/>
      <c r="M12" s="33"/>
      <c r="N12" s="33"/>
      <c r="O12" s="33"/>
      <c r="P12" s="33"/>
      <c r="Q12" s="33"/>
    </row>
    <row r="13" spans="1:18" x14ac:dyDescent="0.2">
      <c r="A13" s="4"/>
      <c r="B13" s="65"/>
      <c r="C13" s="33"/>
      <c r="D13" s="33"/>
      <c r="E13" s="33"/>
      <c r="F13" s="822" t="s">
        <v>155</v>
      </c>
      <c r="G13" s="822"/>
      <c r="H13" s="822"/>
      <c r="I13" s="822"/>
      <c r="J13" s="822"/>
      <c r="K13" s="75"/>
      <c r="L13" s="33"/>
      <c r="M13" s="33"/>
      <c r="N13" s="33"/>
      <c r="O13" s="33"/>
      <c r="P13" s="33"/>
      <c r="Q13" s="33"/>
    </row>
    <row r="14" spans="1:18" x14ac:dyDescent="0.2">
      <c r="A14" s="4"/>
      <c r="B14" s="65"/>
      <c r="C14" s="76"/>
      <c r="D14" s="820"/>
      <c r="E14" s="820"/>
      <c r="F14" s="820"/>
      <c r="G14" s="820"/>
      <c r="H14" s="820"/>
      <c r="I14" s="820"/>
      <c r="J14" s="820"/>
      <c r="K14" s="820"/>
      <c r="L14" s="820"/>
      <c r="M14" s="820"/>
      <c r="N14" s="820"/>
      <c r="O14" s="820"/>
      <c r="P14" s="820"/>
      <c r="Q14" s="33"/>
    </row>
    <row r="15" spans="1:18" x14ac:dyDescent="0.2">
      <c r="A15" s="4"/>
      <c r="B15" s="65"/>
      <c r="C15" s="33"/>
      <c r="D15" s="33"/>
      <c r="E15" s="33"/>
      <c r="F15" s="165" t="s">
        <v>20</v>
      </c>
      <c r="G15" s="165"/>
      <c r="H15" s="165"/>
      <c r="I15" s="165"/>
      <c r="J15" s="165" t="s">
        <v>8</v>
      </c>
      <c r="K15" s="75"/>
      <c r="L15" s="165" t="s">
        <v>20</v>
      </c>
      <c r="M15" s="165"/>
      <c r="N15" s="75"/>
      <c r="O15" s="75"/>
      <c r="P15" s="75" t="s">
        <v>8</v>
      </c>
      <c r="Q15" s="33"/>
    </row>
    <row r="16" spans="1:18" x14ac:dyDescent="0.2">
      <c r="A16" s="4"/>
      <c r="B16" s="65"/>
      <c r="C16" s="33"/>
      <c r="D16" s="78" t="s">
        <v>11</v>
      </c>
      <c r="E16" s="33"/>
      <c r="F16" s="33"/>
      <c r="G16" s="33"/>
      <c r="H16" s="33"/>
      <c r="I16" s="33"/>
      <c r="J16" s="33"/>
      <c r="K16" s="33"/>
      <c r="L16" s="33"/>
      <c r="M16" s="33"/>
      <c r="N16" s="33"/>
      <c r="O16" s="33"/>
      <c r="P16" s="33"/>
      <c r="Q16" s="33"/>
    </row>
    <row r="17" spans="1:18" x14ac:dyDescent="0.2">
      <c r="A17" s="4"/>
      <c r="B17" s="65">
        <v>1</v>
      </c>
      <c r="C17" s="33"/>
      <c r="D17" s="77" t="s">
        <v>12</v>
      </c>
      <c r="E17" s="33"/>
      <c r="F17" s="79">
        <f>'3. Data_Input_Sheet'!E55</f>
        <v>0.56000000000000005</v>
      </c>
      <c r="G17" s="79"/>
      <c r="H17" s="355"/>
      <c r="I17" s="181"/>
      <c r="J17" s="46">
        <f>$J$26*F17</f>
        <v>63605370.452292666</v>
      </c>
      <c r="K17" s="33"/>
      <c r="L17" s="79">
        <f>'3. Data_Input_Sheet'!E62</f>
        <v>3.5382192064317093E-2</v>
      </c>
      <c r="M17" s="79"/>
      <c r="N17" s="355"/>
      <c r="O17" s="181"/>
      <c r="P17" s="46">
        <f>L17*J17</f>
        <v>2250497.4336650586</v>
      </c>
      <c r="Q17" s="33"/>
    </row>
    <row r="18" spans="1:18" x14ac:dyDescent="0.2">
      <c r="A18" s="4"/>
      <c r="B18" s="65">
        <v>2</v>
      </c>
      <c r="C18" s="33"/>
      <c r="D18" s="77" t="s">
        <v>13</v>
      </c>
      <c r="E18" s="33"/>
      <c r="F18" s="80">
        <f>'3. Data_Input_Sheet'!E56</f>
        <v>0.04</v>
      </c>
      <c r="G18" s="79"/>
      <c r="H18" s="355"/>
      <c r="I18" s="181"/>
      <c r="J18" s="53">
        <f>$J$26*F18</f>
        <v>4543240.7465923326</v>
      </c>
      <c r="K18" s="33"/>
      <c r="L18" s="80">
        <f>'3. Data_Input_Sheet'!E63</f>
        <v>1.17E-2</v>
      </c>
      <c r="M18" s="79"/>
      <c r="N18" s="355"/>
      <c r="O18" s="181"/>
      <c r="P18" s="53">
        <f>L18*J18</f>
        <v>53155.916735130289</v>
      </c>
      <c r="Q18" s="33"/>
    </row>
    <row r="19" spans="1:18" ht="13.5" thickBot="1" x14ac:dyDescent="0.25">
      <c r="A19" s="4"/>
      <c r="B19" s="65">
        <v>3</v>
      </c>
      <c r="C19" s="33"/>
      <c r="D19" s="81" t="s">
        <v>14</v>
      </c>
      <c r="E19" s="33"/>
      <c r="F19" s="82">
        <f>SUM(F17:F18)</f>
        <v>0.60000000000000009</v>
      </c>
      <c r="G19" s="82"/>
      <c r="H19" s="83"/>
      <c r="I19" s="168"/>
      <c r="J19" s="84">
        <f>SUM(J17:J18)</f>
        <v>68148611.198884994</v>
      </c>
      <c r="K19" s="33"/>
      <c r="L19" s="82">
        <f>IF(F19=0,0,SUMPRODUCT(F17:F18,L17:L18)/F19)</f>
        <v>3.3803379260029284E-2</v>
      </c>
      <c r="M19" s="87"/>
      <c r="N19" s="33"/>
      <c r="O19" s="29"/>
      <c r="P19" s="84">
        <f>SUM(P17:P18)</f>
        <v>2303653.3504001889</v>
      </c>
      <c r="Q19" s="33"/>
    </row>
    <row r="20" spans="1:18" ht="13.5" thickTop="1" x14ac:dyDescent="0.2">
      <c r="A20" s="4"/>
      <c r="B20" s="65"/>
      <c r="C20" s="33"/>
      <c r="D20" s="33"/>
      <c r="E20" s="33"/>
      <c r="F20" s="85"/>
      <c r="G20" s="85"/>
      <c r="H20" s="85"/>
      <c r="I20" s="167"/>
      <c r="J20" s="86"/>
      <c r="K20" s="33"/>
      <c r="L20" s="87"/>
      <c r="M20" s="87"/>
      <c r="N20" s="33"/>
      <c r="O20" s="29"/>
      <c r="P20" s="86"/>
      <c r="Q20" s="33"/>
    </row>
    <row r="21" spans="1:18" x14ac:dyDescent="0.2">
      <c r="A21" s="4"/>
      <c r="B21" s="65"/>
      <c r="C21" s="33"/>
      <c r="D21" s="78" t="s">
        <v>15</v>
      </c>
      <c r="E21" s="33"/>
      <c r="F21" s="85"/>
      <c r="G21" s="85"/>
      <c r="H21" s="85"/>
      <c r="I21" s="167"/>
      <c r="J21" s="86"/>
      <c r="K21" s="33"/>
      <c r="L21" s="87"/>
      <c r="M21" s="87"/>
      <c r="N21" s="33"/>
      <c r="O21" s="29"/>
      <c r="P21" s="86"/>
      <c r="Q21" s="33"/>
    </row>
    <row r="22" spans="1:18" x14ac:dyDescent="0.2">
      <c r="A22" s="4"/>
      <c r="B22" s="69">
        <v>4</v>
      </c>
      <c r="C22" s="88"/>
      <c r="D22" s="89" t="s">
        <v>16</v>
      </c>
      <c r="E22" s="88"/>
      <c r="F22" s="90">
        <f>'3. Data_Input_Sheet'!E57</f>
        <v>0.4</v>
      </c>
      <c r="G22" s="90"/>
      <c r="H22" s="355"/>
      <c r="I22" s="181"/>
      <c r="J22" s="47">
        <f>$J$26*F22</f>
        <v>45432407.465923332</v>
      </c>
      <c r="K22" s="88"/>
      <c r="L22" s="91">
        <f>'3. Data_Input_Sheet'!E64</f>
        <v>8.6599999999999996E-2</v>
      </c>
      <c r="M22" s="91"/>
      <c r="N22" s="355"/>
      <c r="O22" s="181"/>
      <c r="P22" s="47">
        <f>L22*J22</f>
        <v>3934446.4865489602</v>
      </c>
      <c r="Q22" s="88"/>
      <c r="R22" s="15"/>
    </row>
    <row r="23" spans="1:18" x14ac:dyDescent="0.2">
      <c r="A23" s="4"/>
      <c r="B23" s="69">
        <v>5</v>
      </c>
      <c r="C23" s="88"/>
      <c r="D23" s="89" t="s">
        <v>17</v>
      </c>
      <c r="E23" s="88"/>
      <c r="F23" s="92">
        <f>'3. Data_Input_Sheet'!E58</f>
        <v>0</v>
      </c>
      <c r="G23" s="91"/>
      <c r="H23" s="355"/>
      <c r="I23" s="181"/>
      <c r="J23" s="54">
        <f>$J$26*F23</f>
        <v>0</v>
      </c>
      <c r="K23" s="88"/>
      <c r="L23" s="92">
        <f>'3. Data_Input_Sheet'!E65</f>
        <v>0</v>
      </c>
      <c r="M23" s="91"/>
      <c r="N23" s="355"/>
      <c r="O23" s="181"/>
      <c r="P23" s="54">
        <f>L23*J23</f>
        <v>0</v>
      </c>
      <c r="Q23" s="88"/>
      <c r="R23" s="15"/>
    </row>
    <row r="24" spans="1:18" ht="13.5" thickBot="1" x14ac:dyDescent="0.25">
      <c r="A24" s="4"/>
      <c r="B24" s="65">
        <v>6</v>
      </c>
      <c r="C24" s="33"/>
      <c r="D24" s="81" t="s">
        <v>18</v>
      </c>
      <c r="E24" s="33"/>
      <c r="F24" s="82">
        <f>SUM(F22:F23)</f>
        <v>0.4</v>
      </c>
      <c r="G24" s="82"/>
      <c r="H24" s="83"/>
      <c r="I24" s="83"/>
      <c r="J24" s="84">
        <f>SUM(J22:J23)</f>
        <v>45432407.465923332</v>
      </c>
      <c r="K24" s="33"/>
      <c r="L24" s="82">
        <f>IF(F24=0,0,SUMPRODUCT(F22:F23,L22:L23)/F24)</f>
        <v>8.6599999999999983E-2</v>
      </c>
      <c r="M24" s="87"/>
      <c r="N24" s="33"/>
      <c r="O24" s="33"/>
      <c r="P24" s="84">
        <f>SUM(P22:P23)</f>
        <v>3934446.4865489602</v>
      </c>
      <c r="Q24" s="33"/>
    </row>
    <row r="25" spans="1:18" ht="13.5" thickTop="1" x14ac:dyDescent="0.2">
      <c r="A25" s="4"/>
      <c r="B25" s="65"/>
      <c r="C25" s="33"/>
      <c r="D25" s="33"/>
      <c r="E25" s="33"/>
      <c r="F25" s="33"/>
      <c r="G25" s="33"/>
      <c r="H25" s="33"/>
      <c r="I25" s="33"/>
      <c r="J25" s="86"/>
      <c r="K25" s="33"/>
      <c r="L25" s="87"/>
      <c r="M25" s="87"/>
      <c r="N25" s="33"/>
      <c r="O25" s="33"/>
      <c r="P25" s="86"/>
      <c r="Q25" s="33"/>
    </row>
    <row r="26" spans="1:18" ht="13.5" thickBot="1" x14ac:dyDescent="0.25">
      <c r="A26" s="4"/>
      <c r="B26" s="65">
        <v>7</v>
      </c>
      <c r="C26" s="33"/>
      <c r="D26" s="78" t="s">
        <v>19</v>
      </c>
      <c r="E26" s="33"/>
      <c r="F26" s="173">
        <f>SUM(F19,F24)</f>
        <v>1</v>
      </c>
      <c r="G26" s="93"/>
      <c r="H26" s="93"/>
      <c r="I26" s="93"/>
      <c r="J26" s="94">
        <f>'4. Rate_Base'!G18</f>
        <v>113581018.66480832</v>
      </c>
      <c r="K26" s="33"/>
      <c r="L26" s="95">
        <f>(L19*F19)+(L24*F24)</f>
        <v>5.4922027556017571E-2</v>
      </c>
      <c r="M26" s="87"/>
      <c r="N26" s="33"/>
      <c r="O26" s="33"/>
      <c r="P26" s="94">
        <f>P19+P24</f>
        <v>6238099.8369491491</v>
      </c>
      <c r="Q26" s="33"/>
    </row>
    <row r="27" spans="1:18" ht="13.5" thickTop="1" x14ac:dyDescent="0.2">
      <c r="A27" s="4"/>
      <c r="B27" s="65"/>
      <c r="C27" s="33"/>
      <c r="D27" s="33"/>
      <c r="E27" s="33"/>
      <c r="F27" s="33"/>
      <c r="G27" s="33"/>
      <c r="H27" s="33"/>
      <c r="I27" s="33"/>
      <c r="J27" s="33"/>
      <c r="K27" s="33"/>
      <c r="L27" s="33"/>
      <c r="M27" s="33"/>
      <c r="N27" s="33"/>
      <c r="O27" s="33"/>
      <c r="P27" s="33"/>
      <c r="Q27" s="33"/>
    </row>
    <row r="28" spans="1:18" x14ac:dyDescent="0.2">
      <c r="A28" s="4"/>
      <c r="B28" s="4"/>
      <c r="C28" s="33"/>
      <c r="D28" s="33"/>
      <c r="E28" s="33"/>
      <c r="F28" s="33"/>
      <c r="G28" s="33"/>
      <c r="K28" s="33"/>
      <c r="L28" s="33"/>
      <c r="M28" s="33"/>
      <c r="N28" s="33"/>
      <c r="O28" s="33"/>
      <c r="P28" s="33"/>
      <c r="Q28" s="33"/>
    </row>
    <row r="29" spans="1:18" x14ac:dyDescent="0.2">
      <c r="A29" s="4"/>
      <c r="B29" s="65"/>
      <c r="C29" s="33"/>
      <c r="D29" s="33"/>
      <c r="E29" s="33"/>
      <c r="F29" s="822" t="str">
        <f>'1. Info'!AC1</f>
        <v/>
      </c>
      <c r="G29" s="822"/>
      <c r="H29" s="822"/>
      <c r="I29" s="822"/>
      <c r="J29" s="822"/>
      <c r="K29" s="33"/>
      <c r="L29" s="33"/>
      <c r="M29" s="33"/>
      <c r="N29" s="33"/>
      <c r="O29" s="33"/>
      <c r="P29" s="33"/>
      <c r="Q29" s="33"/>
    </row>
    <row r="30" spans="1:18" x14ac:dyDescent="0.2">
      <c r="A30" s="4"/>
      <c r="B30" s="65"/>
      <c r="C30" s="76"/>
      <c r="D30" s="821"/>
      <c r="E30" s="821"/>
      <c r="F30" s="821"/>
      <c r="G30" s="821"/>
      <c r="H30" s="821"/>
      <c r="I30" s="821"/>
      <c r="J30" s="821"/>
      <c r="K30" s="821"/>
      <c r="L30" s="821"/>
      <c r="M30" s="821"/>
      <c r="N30" s="821"/>
      <c r="O30" s="821"/>
      <c r="P30" s="821"/>
      <c r="Q30" s="33"/>
    </row>
    <row r="31" spans="1:18" x14ac:dyDescent="0.2">
      <c r="A31" s="4"/>
      <c r="B31" s="65"/>
      <c r="C31" s="33"/>
      <c r="D31" s="33"/>
      <c r="E31" s="33"/>
      <c r="F31" s="165" t="s">
        <v>20</v>
      </c>
      <c r="G31" s="165"/>
      <c r="H31" s="165"/>
      <c r="I31" s="165"/>
      <c r="J31" s="165" t="s">
        <v>8</v>
      </c>
      <c r="K31" s="75"/>
      <c r="L31" s="165" t="s">
        <v>20</v>
      </c>
      <c r="M31" s="165"/>
      <c r="N31" s="75"/>
      <c r="O31" s="75"/>
      <c r="P31" s="75" t="s">
        <v>8</v>
      </c>
      <c r="Q31" s="33"/>
    </row>
    <row r="32" spans="1:18" x14ac:dyDescent="0.2">
      <c r="A32" s="4"/>
      <c r="B32" s="65"/>
      <c r="C32" s="33"/>
      <c r="D32" s="78" t="s">
        <v>11</v>
      </c>
      <c r="E32" s="33"/>
      <c r="F32" s="33"/>
      <c r="G32" s="33"/>
      <c r="H32" s="33"/>
      <c r="I32" s="33"/>
      <c r="J32" s="33"/>
      <c r="K32" s="33"/>
      <c r="L32" s="33"/>
      <c r="M32" s="33"/>
      <c r="N32" s="33"/>
      <c r="O32" s="33"/>
      <c r="P32" s="33"/>
      <c r="Q32" s="33"/>
    </row>
    <row r="33" spans="1:17" x14ac:dyDescent="0.2">
      <c r="A33" s="4"/>
      <c r="B33" s="65">
        <v>1</v>
      </c>
      <c r="C33" s="33"/>
      <c r="D33" s="77" t="s">
        <v>12</v>
      </c>
      <c r="E33" s="33"/>
      <c r="F33" s="79">
        <f>'3. Data_Input_Sheet'!M55</f>
        <v>0.56000000000000005</v>
      </c>
      <c r="G33" s="79"/>
      <c r="H33" s="355"/>
      <c r="I33" s="181"/>
      <c r="J33" s="46">
        <f>$J$42*F33</f>
        <v>63605370.452292666</v>
      </c>
      <c r="K33" s="33"/>
      <c r="L33" s="79">
        <f>'3. Data_Input_Sheet'!M62</f>
        <v>3.5382192064317093E-2</v>
      </c>
      <c r="M33" s="79"/>
      <c r="N33" s="355"/>
      <c r="O33" s="181"/>
      <c r="P33" s="46">
        <f>L33*J33</f>
        <v>2250497.4336650586</v>
      </c>
      <c r="Q33" s="33"/>
    </row>
    <row r="34" spans="1:17" x14ac:dyDescent="0.2">
      <c r="A34" s="4"/>
      <c r="B34" s="65">
        <v>2</v>
      </c>
      <c r="C34" s="33"/>
      <c r="D34" s="77" t="s">
        <v>13</v>
      </c>
      <c r="E34" s="33"/>
      <c r="F34" s="80">
        <f>'3. Data_Input_Sheet'!M56</f>
        <v>0.04</v>
      </c>
      <c r="G34" s="79"/>
      <c r="H34" s="355"/>
      <c r="I34" s="181"/>
      <c r="J34" s="53">
        <f>$J$42*F34</f>
        <v>4543240.7465923326</v>
      </c>
      <c r="K34" s="33"/>
      <c r="L34" s="80">
        <f>'3. Data_Input_Sheet'!M63</f>
        <v>1.17E-2</v>
      </c>
      <c r="M34" s="79"/>
      <c r="N34" s="355"/>
      <c r="O34" s="181"/>
      <c r="P34" s="53">
        <f>L34*J34</f>
        <v>53155.916735130289</v>
      </c>
      <c r="Q34" s="33"/>
    </row>
    <row r="35" spans="1:17" ht="13.5" thickBot="1" x14ac:dyDescent="0.25">
      <c r="A35" s="4"/>
      <c r="B35" s="65">
        <v>3</v>
      </c>
      <c r="C35" s="33"/>
      <c r="D35" s="81" t="s">
        <v>14</v>
      </c>
      <c r="E35" s="33"/>
      <c r="F35" s="82">
        <f>SUM(F33:F34)</f>
        <v>0.60000000000000009</v>
      </c>
      <c r="G35" s="87"/>
      <c r="H35" s="85"/>
      <c r="I35" s="167"/>
      <c r="J35" s="84">
        <f>SUM(J33:J34)</f>
        <v>68148611.198884994</v>
      </c>
      <c r="K35" s="33"/>
      <c r="L35" s="82">
        <f>IF(F35=0,0,SUMPRODUCT(F33:F34,L33:L34)/F35)</f>
        <v>3.3803379260029284E-2</v>
      </c>
      <c r="M35" s="87"/>
      <c r="N35" s="33"/>
      <c r="O35" s="29"/>
      <c r="P35" s="84">
        <f>SUM(P33:P34)</f>
        <v>2303653.3504001889</v>
      </c>
      <c r="Q35" s="33"/>
    </row>
    <row r="36" spans="1:17" ht="13.5" thickTop="1" x14ac:dyDescent="0.2">
      <c r="A36" s="4"/>
      <c r="B36" s="65"/>
      <c r="C36" s="33"/>
      <c r="D36" s="33"/>
      <c r="E36" s="33"/>
      <c r="F36" s="85"/>
      <c r="G36" s="85"/>
      <c r="H36" s="85"/>
      <c r="I36" s="167"/>
      <c r="J36" s="86"/>
      <c r="K36" s="33"/>
      <c r="L36" s="87"/>
      <c r="M36" s="87"/>
      <c r="N36" s="33"/>
      <c r="O36" s="29"/>
      <c r="P36" s="86"/>
      <c r="Q36" s="33"/>
    </row>
    <row r="37" spans="1:17" x14ac:dyDescent="0.2">
      <c r="A37" s="4"/>
      <c r="B37" s="65"/>
      <c r="C37" s="33"/>
      <c r="D37" s="78" t="s">
        <v>15</v>
      </c>
      <c r="E37" s="33"/>
      <c r="F37" s="85"/>
      <c r="G37" s="85"/>
      <c r="H37" s="85"/>
      <c r="I37" s="167"/>
      <c r="J37" s="86"/>
      <c r="K37" s="33"/>
      <c r="L37" s="87"/>
      <c r="M37" s="87"/>
      <c r="N37" s="33"/>
      <c r="O37" s="29"/>
      <c r="P37" s="86"/>
      <c r="Q37" s="33"/>
    </row>
    <row r="38" spans="1:17" x14ac:dyDescent="0.2">
      <c r="A38" s="4"/>
      <c r="B38" s="69">
        <v>4</v>
      </c>
      <c r="C38" s="88"/>
      <c r="D38" s="89" t="s">
        <v>16</v>
      </c>
      <c r="E38" s="88"/>
      <c r="F38" s="90">
        <f>'3. Data_Input_Sheet'!M57</f>
        <v>0.4</v>
      </c>
      <c r="G38" s="90"/>
      <c r="H38" s="355"/>
      <c r="I38" s="181"/>
      <c r="J38" s="47">
        <f>$J$42*F38</f>
        <v>45432407.465923332</v>
      </c>
      <c r="K38" s="88"/>
      <c r="L38" s="91">
        <f>'3. Data_Input_Sheet'!M64</f>
        <v>8.6599999999999996E-2</v>
      </c>
      <c r="M38" s="91"/>
      <c r="N38" s="355"/>
      <c r="O38" s="181"/>
      <c r="P38" s="47">
        <f>L38*J38</f>
        <v>3934446.4865489602</v>
      </c>
      <c r="Q38" s="33"/>
    </row>
    <row r="39" spans="1:17" x14ac:dyDescent="0.2">
      <c r="A39" s="4"/>
      <c r="B39" s="69">
        <v>5</v>
      </c>
      <c r="C39" s="88"/>
      <c r="D39" s="89" t="s">
        <v>17</v>
      </c>
      <c r="E39" s="88"/>
      <c r="F39" s="92">
        <f>'3. Data_Input_Sheet'!M58</f>
        <v>0</v>
      </c>
      <c r="G39" s="91"/>
      <c r="H39" s="355"/>
      <c r="I39" s="181"/>
      <c r="J39" s="54">
        <f>$J$42*F39</f>
        <v>0</v>
      </c>
      <c r="K39" s="88"/>
      <c r="L39" s="92">
        <f>'3. Data_Input_Sheet'!M65</f>
        <v>0</v>
      </c>
      <c r="M39" s="91"/>
      <c r="N39" s="355"/>
      <c r="O39" s="181"/>
      <c r="P39" s="54">
        <f>L39*J39</f>
        <v>0</v>
      </c>
      <c r="Q39" s="33"/>
    </row>
    <row r="40" spans="1:17" ht="13.5" thickBot="1" x14ac:dyDescent="0.25">
      <c r="A40" s="4"/>
      <c r="B40" s="65">
        <v>6</v>
      </c>
      <c r="C40" s="33"/>
      <c r="D40" s="81" t="s">
        <v>18</v>
      </c>
      <c r="E40" s="33"/>
      <c r="F40" s="82">
        <f>SUM(F38:F39)</f>
        <v>0.4</v>
      </c>
      <c r="G40" s="87"/>
      <c r="H40" s="85"/>
      <c r="I40" s="85"/>
      <c r="J40" s="84">
        <f>SUM(J38:J39)</f>
        <v>45432407.465923332</v>
      </c>
      <c r="K40" s="33"/>
      <c r="L40" s="82">
        <f>IF(F40=0,0,SUMPRODUCT(F38:F39,L38:L39)/F40)</f>
        <v>8.6599999999999983E-2</v>
      </c>
      <c r="M40" s="87"/>
      <c r="N40" s="33"/>
      <c r="O40" s="33"/>
      <c r="P40" s="84">
        <f>SUM(P38:P39)</f>
        <v>3934446.4865489602</v>
      </c>
      <c r="Q40" s="33"/>
    </row>
    <row r="41" spans="1:17" ht="13.5" thickTop="1" x14ac:dyDescent="0.2">
      <c r="A41" s="4"/>
      <c r="B41" s="65"/>
      <c r="C41" s="33"/>
      <c r="D41" s="33"/>
      <c r="E41" s="33"/>
      <c r="F41" s="33"/>
      <c r="G41" s="33"/>
      <c r="H41" s="33"/>
      <c r="I41" s="33"/>
      <c r="J41" s="86"/>
      <c r="K41" s="33"/>
      <c r="L41" s="87"/>
      <c r="M41" s="87"/>
      <c r="N41" s="33"/>
      <c r="O41" s="33"/>
      <c r="P41" s="86"/>
      <c r="Q41" s="33"/>
    </row>
    <row r="42" spans="1:17" ht="13.5" thickBot="1" x14ac:dyDescent="0.25">
      <c r="A42" s="4"/>
      <c r="B42" s="65">
        <v>7</v>
      </c>
      <c r="C42" s="33"/>
      <c r="D42" s="78" t="s">
        <v>19</v>
      </c>
      <c r="E42" s="33"/>
      <c r="F42" s="173">
        <f>F35+F40</f>
        <v>1</v>
      </c>
      <c r="G42" s="116"/>
      <c r="H42" s="116"/>
      <c r="I42" s="116"/>
      <c r="J42" s="94">
        <f>'4. Rate_Base'!O18</f>
        <v>113581018.66480832</v>
      </c>
      <c r="K42" s="33"/>
      <c r="L42" s="95">
        <f>(L35*F35)+(L40*F40)</f>
        <v>5.4922027556017571E-2</v>
      </c>
      <c r="M42" s="87"/>
      <c r="N42" s="33"/>
      <c r="O42" s="33"/>
      <c r="P42" s="94">
        <f>P35+P40</f>
        <v>6238099.8369491491</v>
      </c>
      <c r="Q42" s="33"/>
    </row>
    <row r="43" spans="1:17" ht="13.5" thickTop="1" x14ac:dyDescent="0.2">
      <c r="A43" s="4"/>
      <c r="B43" s="65"/>
      <c r="C43" s="33"/>
      <c r="D43" s="33"/>
      <c r="E43" s="33"/>
      <c r="F43" s="33"/>
      <c r="G43" s="33"/>
      <c r="H43" s="33"/>
      <c r="I43" s="33"/>
      <c r="J43" s="33"/>
      <c r="K43" s="33"/>
      <c r="L43" s="33"/>
      <c r="M43" s="33"/>
      <c r="N43" s="33"/>
      <c r="O43" s="33"/>
      <c r="P43" s="33"/>
      <c r="Q43" s="33"/>
    </row>
    <row r="44" spans="1:17" x14ac:dyDescent="0.2">
      <c r="A44" s="4"/>
      <c r="B44" s="4"/>
      <c r="C44" s="33"/>
      <c r="D44" s="33"/>
      <c r="E44" s="33"/>
      <c r="F44" s="33"/>
      <c r="G44" s="33"/>
      <c r="H44" s="33"/>
      <c r="I44" s="33"/>
      <c r="J44" s="33"/>
      <c r="K44" s="33"/>
      <c r="L44" s="33"/>
      <c r="M44" s="33"/>
      <c r="N44" s="33"/>
      <c r="O44" s="33"/>
      <c r="P44" s="33"/>
      <c r="Q44" s="33"/>
    </row>
    <row r="45" spans="1:17" x14ac:dyDescent="0.2">
      <c r="A45" s="4"/>
      <c r="B45" s="65"/>
      <c r="C45" s="33"/>
      <c r="D45" s="33"/>
      <c r="E45" s="33"/>
      <c r="F45" s="822" t="s">
        <v>154</v>
      </c>
      <c r="G45" s="822"/>
      <c r="H45" s="822"/>
      <c r="I45" s="822"/>
      <c r="J45" s="822"/>
      <c r="K45" s="33"/>
      <c r="L45" s="33"/>
      <c r="M45" s="33"/>
      <c r="N45" s="33"/>
      <c r="O45" s="33"/>
      <c r="P45" s="33"/>
      <c r="Q45" s="33"/>
    </row>
    <row r="46" spans="1:17" x14ac:dyDescent="0.2">
      <c r="A46" s="4"/>
      <c r="B46" s="65"/>
      <c r="C46" s="33"/>
      <c r="D46" s="821"/>
      <c r="E46" s="821"/>
      <c r="F46" s="821"/>
      <c r="G46" s="821"/>
      <c r="H46" s="821"/>
      <c r="I46" s="821"/>
      <c r="J46" s="821"/>
      <c r="K46" s="821"/>
      <c r="L46" s="821"/>
      <c r="M46" s="821"/>
      <c r="N46" s="821"/>
      <c r="O46" s="821"/>
      <c r="P46" s="821"/>
      <c r="Q46" s="33"/>
    </row>
    <row r="47" spans="1:17" x14ac:dyDescent="0.2">
      <c r="A47" s="4"/>
      <c r="B47" s="65"/>
      <c r="C47" s="33"/>
      <c r="D47" s="33"/>
      <c r="E47" s="33"/>
      <c r="F47" s="165" t="s">
        <v>20</v>
      </c>
      <c r="G47" s="165"/>
      <c r="H47" s="165"/>
      <c r="I47" s="165"/>
      <c r="J47" s="165" t="s">
        <v>8</v>
      </c>
      <c r="K47" s="75"/>
      <c r="L47" s="165" t="s">
        <v>20</v>
      </c>
      <c r="M47" s="165"/>
      <c r="N47" s="75"/>
      <c r="O47" s="75"/>
      <c r="P47" s="165" t="s">
        <v>8</v>
      </c>
      <c r="Q47" s="33"/>
    </row>
    <row r="48" spans="1:17" x14ac:dyDescent="0.2">
      <c r="A48" s="4"/>
      <c r="B48" s="65"/>
      <c r="C48" s="33"/>
      <c r="D48" s="78" t="s">
        <v>11</v>
      </c>
      <c r="E48" s="33"/>
      <c r="F48" s="33"/>
      <c r="G48" s="33"/>
      <c r="H48" s="33"/>
      <c r="I48" s="33"/>
      <c r="J48" s="33"/>
      <c r="K48" s="33"/>
      <c r="L48" s="33"/>
      <c r="M48" s="33"/>
      <c r="N48" s="33"/>
      <c r="O48" s="33"/>
      <c r="P48" s="33"/>
      <c r="Q48" s="33"/>
    </row>
    <row r="49" spans="1:17" x14ac:dyDescent="0.2">
      <c r="A49" s="4"/>
      <c r="B49" s="65">
        <v>8</v>
      </c>
      <c r="C49" s="33"/>
      <c r="D49" s="77" t="s">
        <v>12</v>
      </c>
      <c r="E49" s="33"/>
      <c r="F49" s="79">
        <f>IF(ISBLANK('3. Data_Input_Sheet'!U55),F33,'3. Data_Input_Sheet'!U55)</f>
        <v>0.56000000000000005</v>
      </c>
      <c r="G49" s="79"/>
      <c r="H49" s="355"/>
      <c r="I49" s="181"/>
      <c r="J49" s="46">
        <f>$J$58*F49</f>
        <v>63605370.452292666</v>
      </c>
      <c r="K49" s="33"/>
      <c r="L49" s="79">
        <f>IF(ISBLANK('3. Data_Input_Sheet'!U62),L17,'3. Data_Input_Sheet'!U62)</f>
        <v>3.5382192064317093E-2</v>
      </c>
      <c r="M49" s="79"/>
      <c r="N49" s="355"/>
      <c r="O49" s="181"/>
      <c r="P49" s="46">
        <f>L49*J49</f>
        <v>2250497.4336650586</v>
      </c>
      <c r="Q49" s="33"/>
    </row>
    <row r="50" spans="1:17" x14ac:dyDescent="0.2">
      <c r="A50" s="4"/>
      <c r="B50" s="65">
        <v>9</v>
      </c>
      <c r="C50" s="33"/>
      <c r="D50" s="77" t="s">
        <v>13</v>
      </c>
      <c r="E50" s="33"/>
      <c r="F50" s="80">
        <f>IF(ISBLANK('3. Data_Input_Sheet'!U56),F34,'3. Data_Input_Sheet'!U56)</f>
        <v>0.04</v>
      </c>
      <c r="G50" s="79"/>
      <c r="H50" s="355"/>
      <c r="I50" s="181"/>
      <c r="J50" s="53">
        <f>$J$58*F50</f>
        <v>4543240.7465923326</v>
      </c>
      <c r="K50" s="33"/>
      <c r="L50" s="80">
        <f>IF(ISBLANK('3. Data_Input_Sheet'!U63),L18,'3. Data_Input_Sheet'!U63)</f>
        <v>1.17E-2</v>
      </c>
      <c r="M50" s="79"/>
      <c r="N50" s="355"/>
      <c r="O50" s="181"/>
      <c r="P50" s="53">
        <f>L50*J50</f>
        <v>53155.916735130289</v>
      </c>
      <c r="Q50" s="33"/>
    </row>
    <row r="51" spans="1:17" ht="13.5" thickBot="1" x14ac:dyDescent="0.25">
      <c r="A51" s="4"/>
      <c r="B51" s="65">
        <v>10</v>
      </c>
      <c r="C51" s="33"/>
      <c r="D51" s="81" t="s">
        <v>14</v>
      </c>
      <c r="E51" s="33"/>
      <c r="F51" s="82">
        <f>SUM(F49:F50)</f>
        <v>0.60000000000000009</v>
      </c>
      <c r="G51" s="87"/>
      <c r="H51" s="85"/>
      <c r="I51" s="167"/>
      <c r="J51" s="84">
        <f>SUM(J49:J50)</f>
        <v>68148611.198884994</v>
      </c>
      <c r="K51" s="33"/>
      <c r="L51" s="82">
        <f>IF(F51=0,0,SUMPRODUCT(F49:F50,L49:L50)/F51)</f>
        <v>3.3803379260029284E-2</v>
      </c>
      <c r="M51" s="87"/>
      <c r="N51" s="33"/>
      <c r="O51" s="29"/>
      <c r="P51" s="84">
        <f>SUM(P49:P50)</f>
        <v>2303653.3504001889</v>
      </c>
      <c r="Q51" s="33"/>
    </row>
    <row r="52" spans="1:17" ht="13.5" thickTop="1" x14ac:dyDescent="0.2">
      <c r="A52" s="4"/>
      <c r="B52" s="65"/>
      <c r="C52" s="33"/>
      <c r="D52" s="33"/>
      <c r="E52" s="33"/>
      <c r="F52" s="85"/>
      <c r="G52" s="85"/>
      <c r="H52" s="85"/>
      <c r="I52" s="167"/>
      <c r="J52" s="86"/>
      <c r="K52" s="33"/>
      <c r="L52" s="87"/>
      <c r="M52" s="87"/>
      <c r="N52" s="33"/>
      <c r="O52" s="29"/>
      <c r="P52" s="86"/>
      <c r="Q52" s="33"/>
    </row>
    <row r="53" spans="1:17" x14ac:dyDescent="0.2">
      <c r="A53" s="4"/>
      <c r="B53" s="65"/>
      <c r="C53" s="33"/>
      <c r="D53" s="78" t="s">
        <v>15</v>
      </c>
      <c r="E53" s="33"/>
      <c r="F53" s="85"/>
      <c r="G53" s="85"/>
      <c r="H53" s="85"/>
      <c r="I53" s="167"/>
      <c r="J53" s="86"/>
      <c r="K53" s="33"/>
      <c r="L53" s="87"/>
      <c r="M53" s="87"/>
      <c r="N53" s="33"/>
      <c r="O53" s="29"/>
      <c r="P53" s="86"/>
      <c r="Q53" s="33"/>
    </row>
    <row r="54" spans="1:17" x14ac:dyDescent="0.2">
      <c r="A54" s="4"/>
      <c r="B54" s="65">
        <v>11</v>
      </c>
      <c r="C54" s="33"/>
      <c r="D54" s="77" t="s">
        <v>16</v>
      </c>
      <c r="E54" s="33"/>
      <c r="F54" s="87">
        <f>IF(ISBLANK('3. Data_Input_Sheet'!U57),F38,'3. Data_Input_Sheet'!U57)</f>
        <v>0.4</v>
      </c>
      <c r="G54" s="85"/>
      <c r="H54" s="355"/>
      <c r="I54" s="181"/>
      <c r="J54" s="46">
        <f>$J$58*F54</f>
        <v>45432407.465923332</v>
      </c>
      <c r="K54" s="33"/>
      <c r="L54" s="79">
        <f>IF(ISBLANK('3. Data_Input_Sheet'!U64),L22,'3. Data_Input_Sheet'!U64)</f>
        <v>8.6599999999999996E-2</v>
      </c>
      <c r="M54" s="79"/>
      <c r="N54" s="355"/>
      <c r="O54" s="181"/>
      <c r="P54" s="46">
        <f>L54*J54</f>
        <v>3934446.4865489602</v>
      </c>
      <c r="Q54" s="33"/>
    </row>
    <row r="55" spans="1:17" x14ac:dyDescent="0.2">
      <c r="A55" s="4"/>
      <c r="B55" s="65">
        <v>12</v>
      </c>
      <c r="C55" s="33"/>
      <c r="D55" s="77" t="s">
        <v>17</v>
      </c>
      <c r="E55" s="33"/>
      <c r="F55" s="80">
        <f>IF(ISBLANK('3. Data_Input_Sheet'!U58),F39,'3. Data_Input_Sheet'!U58)</f>
        <v>0</v>
      </c>
      <c r="G55" s="167"/>
      <c r="H55" s="355"/>
      <c r="I55" s="181"/>
      <c r="J55" s="53">
        <f>$J$58*F55</f>
        <v>0</v>
      </c>
      <c r="K55" s="33"/>
      <c r="L55" s="80">
        <f>IF(ISBLANK('3. Data_Input_Sheet'!U65),L23,'3. Data_Input_Sheet'!U65)</f>
        <v>0</v>
      </c>
      <c r="M55" s="79"/>
      <c r="N55" s="355"/>
      <c r="O55" s="181"/>
      <c r="P55" s="53">
        <f>L55*J55</f>
        <v>0</v>
      </c>
      <c r="Q55" s="33"/>
    </row>
    <row r="56" spans="1:17" ht="13.5" thickBot="1" x14ac:dyDescent="0.25">
      <c r="A56" s="4"/>
      <c r="B56" s="65">
        <v>13</v>
      </c>
      <c r="C56" s="33"/>
      <c r="D56" s="81" t="s">
        <v>18</v>
      </c>
      <c r="E56" s="33"/>
      <c r="F56" s="82">
        <f>SUM(F54:F55)</f>
        <v>0.4</v>
      </c>
      <c r="G56" s="85"/>
      <c r="H56" s="85"/>
      <c r="I56" s="85"/>
      <c r="J56" s="84">
        <f>SUM(J54:J55)</f>
        <v>45432407.465923332</v>
      </c>
      <c r="K56" s="33"/>
      <c r="L56" s="82">
        <f>IF(F56=0,0,SUMPRODUCT(F54:F55,L54:L55)/F56)</f>
        <v>8.6599999999999983E-2</v>
      </c>
      <c r="M56" s="87"/>
      <c r="N56" s="33"/>
      <c r="O56" s="33"/>
      <c r="P56" s="84">
        <f>SUM(P54:P55)</f>
        <v>3934446.4865489602</v>
      </c>
      <c r="Q56" s="33"/>
    </row>
    <row r="57" spans="1:17" ht="13.5" thickTop="1" x14ac:dyDescent="0.2">
      <c r="A57" s="4"/>
      <c r="B57" s="65"/>
      <c r="C57" s="33"/>
      <c r="D57" s="33"/>
      <c r="E57" s="33"/>
      <c r="F57" s="33"/>
      <c r="G57" s="33"/>
      <c r="H57" s="33"/>
      <c r="I57" s="33"/>
      <c r="J57" s="86"/>
      <c r="K57" s="33"/>
      <c r="L57" s="87"/>
      <c r="M57" s="87"/>
      <c r="N57" s="33"/>
      <c r="O57" s="33"/>
      <c r="P57" s="86"/>
      <c r="Q57" s="33"/>
    </row>
    <row r="58" spans="1:17" ht="13.5" thickBot="1" x14ac:dyDescent="0.25">
      <c r="A58" s="4"/>
      <c r="B58" s="65">
        <v>14</v>
      </c>
      <c r="C58" s="33"/>
      <c r="D58" s="81" t="s">
        <v>19</v>
      </c>
      <c r="E58" s="33"/>
      <c r="F58" s="173">
        <f>F51+F56</f>
        <v>1</v>
      </c>
      <c r="G58" s="116"/>
      <c r="H58" s="116"/>
      <c r="I58" s="116"/>
      <c r="J58" s="94">
        <f>'4. Rate_Base'!W18</f>
        <v>113581018.66480832</v>
      </c>
      <c r="K58" s="33"/>
      <c r="L58" s="95">
        <f>(L51*F51)+(L56*F56)</f>
        <v>5.4922027556017571E-2</v>
      </c>
      <c r="M58" s="87"/>
      <c r="N58" s="33"/>
      <c r="O58" s="33"/>
      <c r="P58" s="94">
        <f>P51+P56</f>
        <v>6238099.8369491491</v>
      </c>
      <c r="Q58" s="33"/>
    </row>
    <row r="59" spans="1:17" ht="13.5" thickTop="1" x14ac:dyDescent="0.2">
      <c r="B59" s="33"/>
      <c r="C59" s="33"/>
      <c r="D59" s="33"/>
      <c r="E59" s="33"/>
      <c r="F59" s="33"/>
      <c r="G59" s="33"/>
      <c r="H59" s="33"/>
      <c r="I59" s="33"/>
      <c r="J59" s="33"/>
      <c r="K59" s="33"/>
      <c r="L59" s="33"/>
      <c r="M59" s="33"/>
      <c r="N59" s="33"/>
      <c r="O59" s="33"/>
      <c r="P59" s="33"/>
      <c r="Q59" s="33"/>
    </row>
    <row r="61" spans="1:17" x14ac:dyDescent="0.2">
      <c r="B61" s="815" t="s">
        <v>38</v>
      </c>
      <c r="C61" s="815"/>
      <c r="D61" s="815"/>
      <c r="E61" s="815"/>
      <c r="F61" s="815"/>
      <c r="G61" s="815"/>
      <c r="H61" s="815"/>
      <c r="I61" s="815"/>
      <c r="J61" s="815"/>
      <c r="K61" s="815"/>
      <c r="L61" s="815"/>
      <c r="M61" s="815"/>
      <c r="N61" s="815"/>
      <c r="O61" s="815"/>
      <c r="P61" s="815"/>
    </row>
    <row r="62" spans="1:17" x14ac:dyDescent="0.2">
      <c r="B62" s="441"/>
      <c r="C62" s="441"/>
      <c r="D62" s="441"/>
      <c r="E62" s="441"/>
      <c r="F62" s="441"/>
      <c r="G62" s="441"/>
      <c r="H62" s="441"/>
      <c r="I62" s="441"/>
      <c r="J62" s="441"/>
      <c r="K62" s="441"/>
      <c r="L62" s="441"/>
      <c r="M62" s="441"/>
      <c r="N62" s="441"/>
      <c r="O62" s="441"/>
      <c r="P62" s="441"/>
    </row>
    <row r="63" spans="1:17" x14ac:dyDescent="0.2">
      <c r="B63" s="353"/>
      <c r="D63" s="794"/>
      <c r="E63" s="794"/>
      <c r="F63" s="794"/>
      <c r="G63" s="794"/>
      <c r="H63" s="794"/>
      <c r="I63" s="794"/>
      <c r="J63" s="794"/>
      <c r="K63" s="794"/>
      <c r="L63" s="794"/>
      <c r="M63" s="794"/>
      <c r="N63" s="794"/>
      <c r="O63" s="794"/>
      <c r="P63" s="794"/>
    </row>
    <row r="64" spans="1:17" x14ac:dyDescent="0.2">
      <c r="B64" s="353"/>
      <c r="D64" s="794"/>
      <c r="E64" s="794"/>
      <c r="F64" s="794"/>
      <c r="G64" s="794"/>
      <c r="H64" s="794"/>
      <c r="I64" s="794"/>
      <c r="J64" s="794"/>
      <c r="K64" s="794"/>
      <c r="L64" s="794"/>
      <c r="M64" s="794"/>
      <c r="N64" s="794"/>
      <c r="O64" s="794"/>
      <c r="P64" s="794"/>
    </row>
    <row r="65" spans="2:16" x14ac:dyDescent="0.2">
      <c r="B65" s="353"/>
      <c r="D65" s="794"/>
      <c r="E65" s="794"/>
      <c r="F65" s="794"/>
      <c r="G65" s="794"/>
      <c r="H65" s="794"/>
      <c r="I65" s="794"/>
      <c r="J65" s="794"/>
      <c r="K65" s="794"/>
      <c r="L65" s="794"/>
      <c r="M65" s="794"/>
      <c r="N65" s="794"/>
      <c r="O65" s="794"/>
      <c r="P65" s="794"/>
    </row>
    <row r="66" spans="2:16" x14ac:dyDescent="0.2">
      <c r="B66" s="353"/>
      <c r="D66" s="794"/>
      <c r="E66" s="794"/>
      <c r="F66" s="794"/>
      <c r="G66" s="794"/>
      <c r="H66" s="794"/>
      <c r="I66" s="794"/>
      <c r="J66" s="794"/>
      <c r="K66" s="794"/>
      <c r="L66" s="794"/>
      <c r="M66" s="794"/>
      <c r="N66" s="794"/>
      <c r="O66" s="794"/>
      <c r="P66" s="794"/>
    </row>
    <row r="67" spans="2:16" x14ac:dyDescent="0.2">
      <c r="B67" s="353"/>
      <c r="D67" s="794"/>
      <c r="E67" s="794"/>
      <c r="F67" s="794"/>
      <c r="G67" s="794"/>
      <c r="H67" s="794"/>
      <c r="I67" s="794"/>
      <c r="J67" s="794"/>
      <c r="K67" s="794"/>
      <c r="L67" s="794"/>
      <c r="M67" s="794"/>
      <c r="N67" s="794"/>
      <c r="O67" s="794"/>
      <c r="P67" s="794"/>
    </row>
    <row r="68" spans="2:16" x14ac:dyDescent="0.2">
      <c r="B68" s="353"/>
      <c r="D68" s="794"/>
      <c r="E68" s="794"/>
      <c r="F68" s="794"/>
      <c r="G68" s="794"/>
      <c r="H68" s="794"/>
      <c r="I68" s="794"/>
      <c r="J68" s="794"/>
      <c r="K68" s="794"/>
      <c r="L68" s="794"/>
      <c r="M68" s="794"/>
      <c r="N68" s="794"/>
      <c r="O68" s="794"/>
      <c r="P68" s="794"/>
    </row>
  </sheetData>
  <sheetProtection algorithmName="SHA-512" hashValue="SCaX7sNRS8Vx3hWnrgqYZEFCozj47ubSDO0Bqc4wmoKSL5HMmtOW31dWqPb1OmngQHNakFRBvkXXP4Ur9c3nAg==" saltValue="oHtmfXCoI5rgBM6xwMG/0Q==" spinCount="100000" sheet="1" objects="1" scenarios="1"/>
  <mergeCells count="19">
    <mergeCell ref="C1:N1"/>
    <mergeCell ref="C3:N3"/>
    <mergeCell ref="C4:J4"/>
    <mergeCell ref="C2:R2"/>
    <mergeCell ref="F13:J13"/>
    <mergeCell ref="B5:N5"/>
    <mergeCell ref="F11:J11"/>
    <mergeCell ref="D68:P68"/>
    <mergeCell ref="D66:P66"/>
    <mergeCell ref="D63:P63"/>
    <mergeCell ref="D64:P64"/>
    <mergeCell ref="D65:P65"/>
    <mergeCell ref="D14:P14"/>
    <mergeCell ref="D30:P30"/>
    <mergeCell ref="F45:J45"/>
    <mergeCell ref="F29:J29"/>
    <mergeCell ref="D67:P67"/>
    <mergeCell ref="B61:P61"/>
    <mergeCell ref="D46:P46"/>
  </mergeCells>
  <phoneticPr fontId="2" type="noConversion"/>
  <conditionalFormatting sqref="D30:P30">
    <cfRule type="cellIs" dxfId="62" priority="1" stopIfTrue="1" operator="equal">
      <formula>""</formula>
    </cfRule>
  </conditionalFormatting>
  <pageMargins left="0.31496062992125984" right="0.31496062992125984" top="0.74803149606299213" bottom="0.74803149606299213" header="0.31496062992125984" footer="0.31496062992125984"/>
  <pageSetup scale="7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92D050"/>
    <pageSetUpPr fitToPage="1"/>
  </sheetPr>
  <dimension ref="B1:S60"/>
  <sheetViews>
    <sheetView showGridLines="0" view="pageBreakPreview" topLeftCell="A10" zoomScaleNormal="100" zoomScaleSheetLayoutView="100" workbookViewId="0">
      <pane xSplit="5" ySplit="7" topLeftCell="F44" activePane="bottomRight" state="frozen"/>
      <selection activeCell="J29" sqref="J29"/>
      <selection pane="topRight" activeCell="J29" sqref="J29"/>
      <selection pane="bottomLeft" activeCell="J29" sqref="J29"/>
      <selection pane="bottomRight" activeCell="J29" sqref="J29"/>
    </sheetView>
  </sheetViews>
  <sheetFormatPr defaultColWidth="9.140625" defaultRowHeight="12.75" x14ac:dyDescent="0.2"/>
  <cols>
    <col min="1" max="1" width="1.28515625" style="5" customWidth="1"/>
    <col min="2" max="2" width="5.7109375" style="5" customWidth="1"/>
    <col min="3" max="3" width="2.7109375" style="5" customWidth="1"/>
    <col min="4" max="4" width="27.42578125" style="5" customWidth="1"/>
    <col min="5" max="5" width="1.42578125" style="5" customWidth="1"/>
    <col min="6" max="6" width="15.7109375" style="5" customWidth="1"/>
    <col min="7" max="7" width="2.7109375" style="5" customWidth="1"/>
    <col min="8" max="8" width="15.5703125" style="5" customWidth="1"/>
    <col min="9" max="9" width="1.7109375" style="5" customWidth="1"/>
    <col min="10" max="10" width="15.7109375" style="5" customWidth="1"/>
    <col min="11" max="11" width="2.7109375" style="5" customWidth="1"/>
    <col min="12" max="12" width="15.7109375" style="5" customWidth="1"/>
    <col min="13" max="13" width="1.7109375" style="5" customWidth="1"/>
    <col min="14" max="14" width="15.7109375" style="5" customWidth="1"/>
    <col min="15" max="15" width="2.85546875" style="5" customWidth="1"/>
    <col min="16" max="16" width="15.7109375" style="5" customWidth="1"/>
    <col min="17" max="17" width="1.7109375" style="5" customWidth="1"/>
    <col min="18" max="18" width="9.140625" style="5"/>
    <col min="19" max="19" width="10.7109375" style="5" bestFit="1" customWidth="1"/>
    <col min="20" max="16384" width="9.140625" style="5"/>
  </cols>
  <sheetData>
    <row r="1" spans="2:16" s="2" customFormat="1" ht="21.75" x14ac:dyDescent="0.2">
      <c r="C1" s="833"/>
      <c r="D1" s="833"/>
      <c r="E1" s="833"/>
      <c r="F1" s="833"/>
      <c r="G1" s="833"/>
      <c r="H1" s="833"/>
      <c r="I1" s="833"/>
      <c r="J1" s="833"/>
      <c r="K1" s="833"/>
      <c r="L1" s="833"/>
      <c r="M1" s="833"/>
      <c r="N1" s="833"/>
      <c r="O1" s="833"/>
      <c r="P1" s="143" t="str">
        <f>CONCATENATE('2. Table of Contents'!$F$6," ",'2. Table of Contents'!$G$6)</f>
        <v xml:space="preserve"> </v>
      </c>
    </row>
    <row r="2" spans="2:16" s="2" customFormat="1" ht="18" x14ac:dyDescent="0.25">
      <c r="C2" s="834"/>
      <c r="D2" s="834"/>
      <c r="E2" s="834"/>
      <c r="F2" s="834"/>
      <c r="G2" s="834"/>
      <c r="H2" s="834"/>
      <c r="I2" s="834"/>
      <c r="J2" s="834"/>
      <c r="K2" s="834"/>
      <c r="L2" s="834"/>
      <c r="M2" s="834"/>
      <c r="N2" s="834"/>
      <c r="O2" s="834"/>
    </row>
    <row r="3" spans="2:16" s="2" customFormat="1" ht="18" x14ac:dyDescent="0.25">
      <c r="C3" s="834"/>
      <c r="D3" s="834"/>
      <c r="E3" s="834"/>
      <c r="F3" s="834"/>
      <c r="G3" s="834"/>
      <c r="H3" s="834"/>
      <c r="I3" s="834"/>
      <c r="J3" s="834"/>
      <c r="K3" s="834"/>
      <c r="L3" s="834"/>
      <c r="M3" s="834"/>
      <c r="N3" s="834"/>
      <c r="O3" s="834"/>
    </row>
    <row r="4" spans="2:16" s="2" customFormat="1" ht="18" x14ac:dyDescent="0.25">
      <c r="C4" s="834"/>
      <c r="D4" s="834"/>
      <c r="E4" s="834"/>
      <c r="F4" s="834"/>
      <c r="G4" s="834"/>
      <c r="H4" s="834"/>
    </row>
    <row r="5" spans="2:16" s="2" customFormat="1" ht="15.75" x14ac:dyDescent="0.25">
      <c r="E5" s="3"/>
      <c r="F5" s="3"/>
    </row>
    <row r="6" spans="2:16" s="2" customFormat="1" ht="36.75" customHeight="1" x14ac:dyDescent="0.2"/>
    <row r="7" spans="2:16" ht="4.5" customHeight="1" x14ac:dyDescent="0.2"/>
    <row r="8" spans="2:16" ht="15.75" x14ac:dyDescent="0.25">
      <c r="E8" s="57"/>
      <c r="F8" s="812"/>
      <c r="G8" s="812"/>
      <c r="H8" s="812"/>
      <c r="I8" s="812"/>
      <c r="J8" s="812"/>
      <c r="K8" s="812"/>
      <c r="L8" s="812"/>
      <c r="M8" s="812"/>
      <c r="N8" s="812"/>
      <c r="O8" s="812"/>
      <c r="P8" s="812"/>
    </row>
    <row r="9" spans="2:16" ht="15.75" x14ac:dyDescent="0.25">
      <c r="E9" s="57"/>
      <c r="F9" s="58"/>
      <c r="G9" s="58"/>
      <c r="H9" s="58"/>
      <c r="I9" s="58"/>
      <c r="J9" s="58"/>
      <c r="K9" s="58"/>
      <c r="L9" s="58"/>
      <c r="M9" s="58"/>
      <c r="N9" s="58"/>
      <c r="O9" s="58"/>
      <c r="P9" s="58"/>
    </row>
    <row r="10" spans="2:16" ht="18" x14ac:dyDescent="0.25">
      <c r="B10" s="368" t="s">
        <v>226</v>
      </c>
      <c r="E10" s="57"/>
      <c r="F10" s="58"/>
      <c r="G10" s="58"/>
      <c r="H10" s="57"/>
      <c r="I10" s="58"/>
      <c r="J10" s="58"/>
      <c r="K10" s="58"/>
      <c r="L10" s="58"/>
      <c r="M10" s="58"/>
      <c r="N10" s="58"/>
      <c r="O10" s="58"/>
      <c r="P10" s="58"/>
    </row>
    <row r="11" spans="2:16" ht="15.75" x14ac:dyDescent="0.25">
      <c r="E11" s="57"/>
      <c r="F11" s="58"/>
      <c r="G11" s="58"/>
      <c r="H11" s="58"/>
      <c r="I11" s="58"/>
      <c r="J11" s="58"/>
      <c r="K11" s="58"/>
      <c r="L11" s="58"/>
      <c r="M11" s="58"/>
      <c r="N11" s="58"/>
      <c r="O11" s="58"/>
      <c r="P11" s="58"/>
    </row>
    <row r="12" spans="2:16" ht="15.75" x14ac:dyDescent="0.25">
      <c r="E12" s="57"/>
      <c r="F12" s="58"/>
      <c r="G12" s="58"/>
      <c r="H12" s="58"/>
      <c r="I12" s="58"/>
      <c r="J12" s="58"/>
      <c r="K12" s="58"/>
      <c r="L12" s="58"/>
      <c r="M12" s="58"/>
      <c r="N12" s="58"/>
      <c r="O12" s="58"/>
      <c r="P12" s="58"/>
    </row>
    <row r="13" spans="2:16" ht="15.75" x14ac:dyDescent="0.25">
      <c r="E13" s="57"/>
      <c r="F13" s="832" t="s">
        <v>155</v>
      </c>
      <c r="G13" s="832"/>
      <c r="H13" s="832"/>
      <c r="I13" s="301"/>
      <c r="J13" s="832" t="str">
        <f>IF(ISBLANK('3. Data_Input_Sheet'!M12),"",'3. Data_Input_Sheet'!M12)</f>
        <v/>
      </c>
      <c r="K13" s="832"/>
      <c r="L13" s="832"/>
      <c r="M13" s="301"/>
      <c r="N13" s="832" t="str">
        <f>'3. Data_Input_Sheet'!U12</f>
        <v>Per Board Decision</v>
      </c>
      <c r="O13" s="832"/>
      <c r="P13" s="832"/>
    </row>
    <row r="14" spans="2:16" ht="6" customHeight="1" x14ac:dyDescent="0.25">
      <c r="D14" s="58"/>
      <c r="E14" s="58"/>
      <c r="F14" s="301"/>
      <c r="G14" s="301"/>
      <c r="H14" s="301"/>
      <c r="I14" s="301"/>
      <c r="J14" s="301"/>
      <c r="K14" s="301"/>
      <c r="L14" s="301"/>
      <c r="M14" s="301"/>
      <c r="N14" s="301"/>
      <c r="O14" s="301"/>
      <c r="P14" s="302"/>
    </row>
    <row r="15" spans="2:16" x14ac:dyDescent="0.2">
      <c r="B15" s="837" t="s">
        <v>37</v>
      </c>
      <c r="D15" s="836" t="s">
        <v>36</v>
      </c>
      <c r="F15" s="830" t="s">
        <v>127</v>
      </c>
      <c r="G15" s="303"/>
      <c r="H15" s="828" t="s">
        <v>128</v>
      </c>
      <c r="I15" s="304"/>
      <c r="J15" s="830" t="s">
        <v>127</v>
      </c>
      <c r="K15" s="303"/>
      <c r="L15" s="828" t="s">
        <v>128</v>
      </c>
      <c r="M15" s="304"/>
      <c r="N15" s="830" t="s">
        <v>127</v>
      </c>
      <c r="O15" s="303"/>
      <c r="P15" s="828" t="s">
        <v>128</v>
      </c>
    </row>
    <row r="16" spans="2:16" ht="24.75" customHeight="1" x14ac:dyDescent="0.2">
      <c r="B16" s="838"/>
      <c r="C16" s="60"/>
      <c r="D16" s="826"/>
      <c r="E16" s="43"/>
      <c r="F16" s="831"/>
      <c r="G16" s="299"/>
      <c r="H16" s="829"/>
      <c r="I16" s="304"/>
      <c r="J16" s="831"/>
      <c r="K16" s="2"/>
      <c r="L16" s="829"/>
      <c r="M16" s="304"/>
      <c r="N16" s="831"/>
      <c r="O16" s="2"/>
      <c r="P16" s="829"/>
    </row>
    <row r="17" spans="2:18" x14ac:dyDescent="0.2">
      <c r="B17" s="61"/>
      <c r="C17" s="60"/>
      <c r="D17" s="43"/>
      <c r="E17" s="43"/>
      <c r="F17" s="62"/>
      <c r="G17" s="43"/>
      <c r="H17" s="63"/>
      <c r="J17" s="64"/>
      <c r="K17" s="65"/>
      <c r="L17" s="66"/>
      <c r="N17" s="64"/>
      <c r="O17" s="65"/>
      <c r="P17" s="66"/>
      <c r="Q17" s="135"/>
    </row>
    <row r="18" spans="2:18" x14ac:dyDescent="0.2">
      <c r="B18" s="4"/>
      <c r="D18" s="4"/>
      <c r="F18" s="64"/>
      <c r="G18" s="65"/>
      <c r="H18" s="34"/>
      <c r="J18" s="64"/>
      <c r="K18" s="65"/>
      <c r="L18" s="34"/>
      <c r="N18" s="64"/>
      <c r="O18" s="65"/>
      <c r="P18" s="34"/>
      <c r="Q18" s="135"/>
    </row>
    <row r="19" spans="2:18" x14ac:dyDescent="0.2">
      <c r="B19" s="166">
        <v>1</v>
      </c>
      <c r="D19" s="5" t="s">
        <v>149</v>
      </c>
      <c r="F19" s="199"/>
      <c r="G19" s="200"/>
      <c r="H19" s="201">
        <f>F52</f>
        <v>4350354.7071840288</v>
      </c>
      <c r="I19" s="192"/>
      <c r="J19" s="199"/>
      <c r="K19" s="200"/>
      <c r="L19" s="201">
        <f>J52</f>
        <v>4350354.7071840288</v>
      </c>
      <c r="M19" s="192"/>
      <c r="N19" s="199"/>
      <c r="O19" s="200"/>
      <c r="P19" s="201">
        <f>N52</f>
        <v>4350354.7071840288</v>
      </c>
      <c r="Q19" s="135"/>
    </row>
    <row r="20" spans="2:18" x14ac:dyDescent="0.2">
      <c r="B20" s="166">
        <v>2</v>
      </c>
      <c r="D20" s="5" t="s">
        <v>150</v>
      </c>
      <c r="F20" s="742">
        <f>'3. Data_Input_Sheet'!E25</f>
        <v>20420990.967166699</v>
      </c>
      <c r="G20" s="214"/>
      <c r="H20" s="743">
        <f>'3. Data_Input_Sheet'!E26-H19</f>
        <v>20420991.44954583</v>
      </c>
      <c r="I20" s="192"/>
      <c r="J20" s="202">
        <f>IF(ISBLANK('3. Data_Input_Sheet'!M25),'3. Data_Input_Sheet'!E25,'3. Data_Input_Sheet'!M25)</f>
        <v>20420990.967166699</v>
      </c>
      <c r="K20" s="200"/>
      <c r="L20" s="201">
        <f>IF(ISBLANK('3. Data_Input_Sheet'!M26),'3. Data_Input_Sheet'!E26-L19,'3. Data_Input_Sheet'!M26-L19)</f>
        <v>20420991.44954583</v>
      </c>
      <c r="M20" s="192"/>
      <c r="N20" s="202">
        <f>IF(ISBLANK('3. Data_Input_Sheet'!U25),'3. Data_Input_Sheet'!M25,'3. Data_Input_Sheet'!U25)</f>
        <v>20420990.967166699</v>
      </c>
      <c r="O20" s="200"/>
      <c r="P20" s="201">
        <f>IF(ISBLANK('3. Data_Input_Sheet'!U26),'3. Data_Input_Sheet'!M26-P19,'3. Data_Input_Sheet'!U26-P19)</f>
        <v>20420991.44954583</v>
      </c>
      <c r="Q20" s="135"/>
      <c r="R20" s="52"/>
    </row>
    <row r="21" spans="2:18" ht="25.5" x14ac:dyDescent="0.2">
      <c r="B21" s="166">
        <v>3</v>
      </c>
      <c r="D21" s="27" t="s">
        <v>151</v>
      </c>
      <c r="F21" s="203">
        <f>'5. Utility Income'!F48</f>
        <v>2201364</v>
      </c>
      <c r="G21" s="200"/>
      <c r="H21" s="204">
        <f>'5. Utility Income'!F48</f>
        <v>2201364</v>
      </c>
      <c r="I21" s="192"/>
      <c r="J21" s="203">
        <f>'5. Utility Income'!N48</f>
        <v>2201364</v>
      </c>
      <c r="K21" s="200"/>
      <c r="L21" s="201">
        <f>J21</f>
        <v>2201364</v>
      </c>
      <c r="M21" s="192"/>
      <c r="N21" s="203">
        <f>'5. Utility Income'!V48</f>
        <v>2201364</v>
      </c>
      <c r="O21" s="200"/>
      <c r="P21" s="201">
        <f>'5. Utility Income'!V48</f>
        <v>2201364</v>
      </c>
      <c r="Q21" s="135"/>
    </row>
    <row r="22" spans="2:18" ht="13.5" thickBot="1" x14ac:dyDescent="0.25">
      <c r="B22" s="166">
        <v>4</v>
      </c>
      <c r="D22" s="16" t="s">
        <v>110</v>
      </c>
      <c r="F22" s="205">
        <f>SUM(F20:F21)</f>
        <v>22622354.967166699</v>
      </c>
      <c r="G22" s="200"/>
      <c r="H22" s="206">
        <f>SUM(H19:H21)</f>
        <v>26972710.156729858</v>
      </c>
      <c r="I22" s="192"/>
      <c r="J22" s="207">
        <f>SUM(J20:J21)</f>
        <v>22622354.967166699</v>
      </c>
      <c r="K22" s="200"/>
      <c r="L22" s="206">
        <f>SUM(L19:L21)</f>
        <v>26972710.156729858</v>
      </c>
      <c r="M22" s="192"/>
      <c r="N22" s="207">
        <f>SUM(N20:N21)</f>
        <v>22622354.967166699</v>
      </c>
      <c r="O22" s="200"/>
      <c r="P22" s="206">
        <f>SUM(P19:P21)</f>
        <v>26972710.156729858</v>
      </c>
      <c r="Q22" s="135"/>
    </row>
    <row r="23" spans="2:18" ht="13.5" thickTop="1" x14ac:dyDescent="0.2">
      <c r="B23" s="166"/>
      <c r="F23" s="208"/>
      <c r="G23" s="200"/>
      <c r="H23" s="209"/>
      <c r="I23" s="192"/>
      <c r="J23" s="208"/>
      <c r="K23" s="200"/>
      <c r="L23" s="201"/>
      <c r="M23" s="192"/>
      <c r="N23" s="208"/>
      <c r="O23" s="200"/>
      <c r="P23" s="201"/>
      <c r="Q23" s="135"/>
    </row>
    <row r="24" spans="2:18" x14ac:dyDescent="0.2">
      <c r="B24" s="166">
        <v>5</v>
      </c>
      <c r="C24" s="15"/>
      <c r="D24" s="23" t="s">
        <v>117</v>
      </c>
      <c r="E24" s="15"/>
      <c r="F24" s="202">
        <f>'5. Utility Income'!F27</f>
        <v>20050494.454797022</v>
      </c>
      <c r="G24" s="200"/>
      <c r="H24" s="201">
        <f>'5. Utility Income'!F27</f>
        <v>20050494.454797022</v>
      </c>
      <c r="I24" s="192"/>
      <c r="J24" s="202">
        <f>'5. Utility Income'!N27</f>
        <v>20050494.454797022</v>
      </c>
      <c r="K24" s="200"/>
      <c r="L24" s="201">
        <f>'5. Utility Income'!N27</f>
        <v>20050494.454797022</v>
      </c>
      <c r="M24" s="192"/>
      <c r="N24" s="202">
        <f>'5. Utility Income'!V27</f>
        <v>20050494.454797022</v>
      </c>
      <c r="O24" s="200"/>
      <c r="P24" s="201">
        <f>'5. Utility Income'!V27</f>
        <v>20050494.454797022</v>
      </c>
      <c r="Q24" s="136"/>
      <c r="R24" s="15"/>
    </row>
    <row r="25" spans="2:18" x14ac:dyDescent="0.2">
      <c r="B25" s="166">
        <v>6</v>
      </c>
      <c r="C25" s="15"/>
      <c r="D25" s="23" t="s">
        <v>95</v>
      </c>
      <c r="E25" s="15"/>
      <c r="F25" s="202">
        <f>'5. Utility Income'!F30</f>
        <v>2303653.3504001889</v>
      </c>
      <c r="G25" s="200"/>
      <c r="H25" s="201">
        <f>'5. Utility Income'!F30</f>
        <v>2303653.3504001889</v>
      </c>
      <c r="I25" s="192"/>
      <c r="J25" s="202">
        <f>'5. Utility Income'!N30</f>
        <v>2303653.3504001889</v>
      </c>
      <c r="K25" s="200"/>
      <c r="L25" s="201">
        <f>'5. Utility Income'!N30</f>
        <v>2303653.3504001889</v>
      </c>
      <c r="M25" s="192"/>
      <c r="N25" s="202">
        <f>'5. Utility Income'!V30</f>
        <v>2303653.3504001889</v>
      </c>
      <c r="O25" s="200"/>
      <c r="P25" s="201">
        <f>'5. Utility Income'!V30</f>
        <v>2303653.3504001889</v>
      </c>
      <c r="Q25" s="136"/>
      <c r="R25" s="15"/>
    </row>
    <row r="26" spans="2:18" ht="13.5" thickBot="1" x14ac:dyDescent="0.25">
      <c r="B26" s="166">
        <v>8</v>
      </c>
      <c r="D26" s="16" t="s">
        <v>118</v>
      </c>
      <c r="F26" s="205">
        <f>SUM(F24:F25)</f>
        <v>22354147.805197209</v>
      </c>
      <c r="G26" s="200"/>
      <c r="H26" s="206">
        <f>SUM(H24:H25)</f>
        <v>22354147.805197209</v>
      </c>
      <c r="I26" s="192"/>
      <c r="J26" s="207">
        <f>SUM(J24:J25)</f>
        <v>22354147.805197209</v>
      </c>
      <c r="K26" s="200"/>
      <c r="L26" s="206">
        <f>SUM(L24:L25)</f>
        <v>22354147.805197209</v>
      </c>
      <c r="M26" s="192"/>
      <c r="N26" s="207">
        <f>SUM(N24:N25)</f>
        <v>22354147.805197209</v>
      </c>
      <c r="O26" s="200"/>
      <c r="P26" s="206">
        <f>SUM(P24:P25)</f>
        <v>22354147.805197209</v>
      </c>
      <c r="Q26" s="135"/>
    </row>
    <row r="27" spans="2:18" ht="13.5" thickTop="1" x14ac:dyDescent="0.2">
      <c r="B27" s="166"/>
      <c r="D27" s="4"/>
      <c r="F27" s="202"/>
      <c r="G27" s="200"/>
      <c r="H27" s="201"/>
      <c r="I27" s="192"/>
      <c r="J27" s="208"/>
      <c r="K27" s="200"/>
      <c r="L27" s="201"/>
      <c r="M27" s="192"/>
      <c r="N27" s="208"/>
      <c r="O27" s="200"/>
      <c r="P27" s="201"/>
      <c r="Q27" s="135"/>
    </row>
    <row r="28" spans="2:18" ht="25.5" x14ac:dyDescent="0.2">
      <c r="B28" s="166">
        <v>9</v>
      </c>
      <c r="D28" s="55" t="s">
        <v>111</v>
      </c>
      <c r="F28" s="202">
        <f>F22-F26</f>
        <v>268207.16196949035</v>
      </c>
      <c r="G28" s="200"/>
      <c r="H28" s="201">
        <f>H22-H26</f>
        <v>4618562.3515326492</v>
      </c>
      <c r="I28" s="192"/>
      <c r="J28" s="208">
        <f>J22-J26</f>
        <v>268207.16196949035</v>
      </c>
      <c r="K28" s="200"/>
      <c r="L28" s="201">
        <f>L22-L26</f>
        <v>4618562.3515326492</v>
      </c>
      <c r="M28" s="192"/>
      <c r="N28" s="208">
        <f>N22-N26</f>
        <v>268207.16196949035</v>
      </c>
      <c r="O28" s="200"/>
      <c r="P28" s="201">
        <f>P22-P26</f>
        <v>4618562.3515326492</v>
      </c>
      <c r="Q28" s="135"/>
    </row>
    <row r="29" spans="2:18" x14ac:dyDescent="0.2">
      <c r="B29" s="166"/>
      <c r="D29" s="5" t="s">
        <v>60</v>
      </c>
      <c r="F29" s="208"/>
      <c r="G29" s="200"/>
      <c r="H29" s="209"/>
      <c r="I29" s="192"/>
      <c r="J29" s="208"/>
      <c r="K29" s="200"/>
      <c r="L29" s="201"/>
      <c r="M29" s="192"/>
      <c r="N29" s="208"/>
      <c r="O29" s="200"/>
      <c r="P29" s="201"/>
      <c r="Q29" s="135"/>
    </row>
    <row r="30" spans="2:18" ht="25.5" customHeight="1" x14ac:dyDescent="0.2">
      <c r="B30" s="166">
        <v>10</v>
      </c>
      <c r="D30" s="70" t="s">
        <v>239</v>
      </c>
      <c r="F30" s="203">
        <f>'3. Data_Input_Sheet'!E44</f>
        <v>-2021577.474419333</v>
      </c>
      <c r="G30" s="200"/>
      <c r="H30" s="204">
        <f>'3. Data_Input_Sheet'!E44</f>
        <v>-2021577.474419333</v>
      </c>
      <c r="I30" s="192"/>
      <c r="J30" s="203">
        <f>IF(ISBLANK('3. Data_Input_Sheet'!M44),'3. Data_Input_Sheet'!E44,'3. Data_Input_Sheet'!M44)</f>
        <v>-2021577.474419333</v>
      </c>
      <c r="K30" s="200"/>
      <c r="L30" s="204">
        <f>IF(ISBLANK('3. Data_Input_Sheet'!M44),'3. Data_Input_Sheet'!E44,'3. Data_Input_Sheet'!M44)</f>
        <v>-2021577.474419333</v>
      </c>
      <c r="M30" s="192"/>
      <c r="N30" s="203">
        <f>IF(ISBLANK('3. Data_Input_Sheet'!U44),'3. Data_Input_Sheet'!M44,'3. Data_Input_Sheet'!U44)</f>
        <v>-2021577.474419333</v>
      </c>
      <c r="O30" s="200"/>
      <c r="P30" s="204">
        <f>IF(ISBLANK('3. Data_Input_Sheet'!U44),'3. Data_Input_Sheet'!M44,'3. Data_Input_Sheet'!U44)</f>
        <v>-2021577.474419333</v>
      </c>
      <c r="Q30" s="135"/>
      <c r="R30" s="52"/>
    </row>
    <row r="31" spans="2:18" x14ac:dyDescent="0.2">
      <c r="B31" s="166">
        <v>11</v>
      </c>
      <c r="D31" s="16" t="s">
        <v>115</v>
      </c>
      <c r="F31" s="208">
        <f>SUM(F28:F30)</f>
        <v>-1753370.3124498427</v>
      </c>
      <c r="G31" s="200"/>
      <c r="H31" s="209">
        <f>SUM(H28:H30)</f>
        <v>2596984.8771133162</v>
      </c>
      <c r="I31" s="192"/>
      <c r="J31" s="208">
        <f>SUM(J28+J30)</f>
        <v>-1753370.3124498427</v>
      </c>
      <c r="K31" s="200"/>
      <c r="L31" s="201">
        <f>L28+L30</f>
        <v>2596984.8771133162</v>
      </c>
      <c r="M31" s="192"/>
      <c r="N31" s="208">
        <f>SUM(N28+N30)</f>
        <v>-1753370.3124498427</v>
      </c>
      <c r="O31" s="200"/>
      <c r="P31" s="201">
        <f>P28+P30</f>
        <v>2596984.8771133162</v>
      </c>
      <c r="Q31" s="135"/>
    </row>
    <row r="32" spans="2:18" x14ac:dyDescent="0.2">
      <c r="B32" s="166"/>
      <c r="D32" s="4"/>
      <c r="F32" s="208"/>
      <c r="G32" s="200"/>
      <c r="H32" s="209"/>
      <c r="I32" s="192"/>
      <c r="J32" s="208"/>
      <c r="K32" s="200"/>
      <c r="L32" s="209"/>
      <c r="M32" s="192"/>
      <c r="N32" s="208"/>
      <c r="O32" s="200"/>
      <c r="P32" s="209"/>
      <c r="Q32" s="135"/>
    </row>
    <row r="33" spans="2:19" x14ac:dyDescent="0.2">
      <c r="B33" s="166">
        <v>12</v>
      </c>
      <c r="D33" s="24" t="s">
        <v>152</v>
      </c>
      <c r="F33" s="210">
        <f>'6. Taxes_PILs'!G41</f>
        <v>0.26500000000000001</v>
      </c>
      <c r="G33" s="211"/>
      <c r="H33" s="198">
        <f>'6. Taxes_PILs'!G41</f>
        <v>0.26500000000000001</v>
      </c>
      <c r="I33" s="212"/>
      <c r="J33" s="210">
        <f>'6. Taxes_PILs'!K41</f>
        <v>0.26500000000000001</v>
      </c>
      <c r="K33" s="211"/>
      <c r="L33" s="198">
        <f>'6. Taxes_PILs'!K41</f>
        <v>0.26500000000000001</v>
      </c>
      <c r="M33" s="212"/>
      <c r="N33" s="210">
        <f>'6. Taxes_PILs'!O41</f>
        <v>0.26500000000000001</v>
      </c>
      <c r="O33" s="211"/>
      <c r="P33" s="198">
        <f>'6. Taxes_PILs'!O41</f>
        <v>0.26500000000000001</v>
      </c>
      <c r="Q33" s="135"/>
    </row>
    <row r="34" spans="2:19" ht="25.5" x14ac:dyDescent="0.2">
      <c r="B34" s="166">
        <v>13</v>
      </c>
      <c r="D34" s="162" t="s">
        <v>153</v>
      </c>
      <c r="F34" s="719">
        <f>F31*F33</f>
        <v>-464643.13279920834</v>
      </c>
      <c r="G34" s="200"/>
      <c r="H34" s="201">
        <f>MAX(H31*H33,0)</f>
        <v>688200.99243502878</v>
      </c>
      <c r="I34" s="192"/>
      <c r="J34" s="720">
        <f>J31*J33</f>
        <v>-464643.13279920834</v>
      </c>
      <c r="K34" s="200"/>
      <c r="L34" s="201">
        <f>MAX(L31*L33,0)</f>
        <v>688200.99243502878</v>
      </c>
      <c r="M34" s="192"/>
      <c r="N34" s="720">
        <f>N31*N33</f>
        <v>-464643.13279920834</v>
      </c>
      <c r="O34" s="200"/>
      <c r="P34" s="201">
        <f>MAX(P31*P33,0)</f>
        <v>688200.99243502878</v>
      </c>
      <c r="Q34" s="135"/>
      <c r="S34" s="52"/>
    </row>
    <row r="35" spans="2:19" x14ac:dyDescent="0.2">
      <c r="B35" s="166">
        <v>14</v>
      </c>
      <c r="D35" s="4" t="s">
        <v>116</v>
      </c>
      <c r="F35" s="202">
        <f>'3. Data_Input_Sheet'!E51</f>
        <v>-4085.482</v>
      </c>
      <c r="G35" s="200"/>
      <c r="H35" s="201">
        <f>'3. Data_Input_Sheet'!E51</f>
        <v>-4085.482</v>
      </c>
      <c r="I35" s="192"/>
      <c r="J35" s="202">
        <f>IF(ISBLANK('3. Data_Input_Sheet'!M51),'3. Data_Input_Sheet'!E51,'3. Data_Input_Sheet'!M51)</f>
        <v>-4085.482</v>
      </c>
      <c r="K35" s="200"/>
      <c r="L35" s="201">
        <f>IF(ISBLANK('3. Data_Input_Sheet'!M51),'3. Data_Input_Sheet'!E51,'3. Data_Input_Sheet'!M51)</f>
        <v>-4085.482</v>
      </c>
      <c r="M35" s="192"/>
      <c r="N35" s="202">
        <f>IF(ISBLANK('3. Data_Input_Sheet'!U51),'3. Data_Input_Sheet'!M51,'3. Data_Input_Sheet'!U51)</f>
        <v>-4085.482</v>
      </c>
      <c r="O35" s="200"/>
      <c r="P35" s="201">
        <f>IF(ISBLANK('3. Data_Input_Sheet'!U51),'3. Data_Input_Sheet'!M51,'3. Data_Input_Sheet'!U51)</f>
        <v>-4085.482</v>
      </c>
      <c r="Q35" s="135"/>
    </row>
    <row r="36" spans="2:19" ht="13.5" thickBot="1" x14ac:dyDescent="0.25">
      <c r="B36" s="166">
        <v>15</v>
      </c>
      <c r="D36" s="16" t="s">
        <v>112</v>
      </c>
      <c r="F36" s="205">
        <f>F28-SUM(F34:F35)</f>
        <v>736935.77676869871</v>
      </c>
      <c r="G36" s="200"/>
      <c r="H36" s="205">
        <f>H28-SUM(H34:H35)</f>
        <v>3934446.8410976203</v>
      </c>
      <c r="I36" s="192"/>
      <c r="J36" s="207">
        <f>J28-SUM(J34:J35)</f>
        <v>736935.77676869871</v>
      </c>
      <c r="K36" s="200"/>
      <c r="L36" s="206">
        <f>'5. Utility Income'!N37</f>
        <v>3934446.9689280903</v>
      </c>
      <c r="M36" s="192"/>
      <c r="N36" s="207">
        <f>N28-SUM(N34:N35)</f>
        <v>736935.77676869871</v>
      </c>
      <c r="O36" s="200"/>
      <c r="P36" s="206">
        <f>'5. Utility Income'!V37</f>
        <v>3934446.9689280903</v>
      </c>
      <c r="Q36" s="135"/>
    </row>
    <row r="37" spans="2:19" ht="13.5" thickTop="1" x14ac:dyDescent="0.2">
      <c r="B37" s="166"/>
      <c r="F37" s="208"/>
      <c r="G37" s="200"/>
      <c r="H37" s="209"/>
      <c r="I37" s="192"/>
      <c r="J37" s="208"/>
      <c r="K37" s="200"/>
      <c r="L37" s="209"/>
      <c r="M37" s="192"/>
      <c r="N37" s="208"/>
      <c r="O37" s="200"/>
      <c r="P37" s="209"/>
      <c r="Q37" s="135"/>
    </row>
    <row r="38" spans="2:19" x14ac:dyDescent="0.2">
      <c r="B38" s="166">
        <v>16</v>
      </c>
      <c r="D38" s="16" t="s">
        <v>48</v>
      </c>
      <c r="F38" s="202">
        <f>'4. Rate_Base'!G18</f>
        <v>113581018.66480832</v>
      </c>
      <c r="G38" s="200"/>
      <c r="H38" s="201">
        <f>'4. Rate_Base'!G18</f>
        <v>113581018.66480832</v>
      </c>
      <c r="I38" s="192"/>
      <c r="J38" s="202">
        <f>'4. Rate_Base'!O18</f>
        <v>113581018.66480832</v>
      </c>
      <c r="K38" s="200"/>
      <c r="L38" s="201">
        <f>'4. Rate_Base'!O18</f>
        <v>113581018.66480832</v>
      </c>
      <c r="M38" s="192"/>
      <c r="N38" s="202">
        <f>'4. Rate_Base'!W18</f>
        <v>113581018.66480832</v>
      </c>
      <c r="O38" s="200"/>
      <c r="P38" s="201">
        <f>'4. Rate_Base'!W18</f>
        <v>113581018.66480832</v>
      </c>
      <c r="Q38" s="135"/>
    </row>
    <row r="39" spans="2:19" x14ac:dyDescent="0.2">
      <c r="B39" s="166"/>
      <c r="D39" s="4"/>
      <c r="F39" s="202"/>
      <c r="G39" s="200"/>
      <c r="H39" s="201"/>
      <c r="I39" s="192"/>
      <c r="J39" s="208"/>
      <c r="K39" s="200"/>
      <c r="L39" s="201"/>
      <c r="M39" s="192"/>
      <c r="N39" s="208"/>
      <c r="O39" s="200"/>
      <c r="P39" s="201"/>
      <c r="Q39" s="135"/>
    </row>
    <row r="40" spans="2:19" ht="25.5" x14ac:dyDescent="0.2">
      <c r="B40" s="166">
        <v>17</v>
      </c>
      <c r="D40" s="163" t="s">
        <v>132</v>
      </c>
      <c r="E40" s="71"/>
      <c r="F40" s="213">
        <f>'7. Cost_of_Capital'!J24</f>
        <v>45432407.465923332</v>
      </c>
      <c r="G40" s="214"/>
      <c r="H40" s="215">
        <f>F40</f>
        <v>45432407.465923332</v>
      </c>
      <c r="I40" s="192"/>
      <c r="J40" s="202">
        <f>'7. Cost_of_Capital'!J40</f>
        <v>45432407.465923332</v>
      </c>
      <c r="K40" s="200"/>
      <c r="L40" s="209">
        <f>J40</f>
        <v>45432407.465923332</v>
      </c>
      <c r="M40" s="192"/>
      <c r="N40" s="202">
        <f>'7. Cost_of_Capital'!J56</f>
        <v>45432407.465923332</v>
      </c>
      <c r="O40" s="200"/>
      <c r="P40" s="209">
        <f>N40</f>
        <v>45432407.465923332</v>
      </c>
      <c r="Q40" s="135"/>
    </row>
    <row r="41" spans="2:19" x14ac:dyDescent="0.2">
      <c r="B41" s="166"/>
      <c r="D41" s="71"/>
      <c r="E41" s="71"/>
      <c r="F41" s="216"/>
      <c r="G41" s="214"/>
      <c r="H41" s="217"/>
      <c r="I41" s="192"/>
      <c r="J41" s="199"/>
      <c r="K41" s="200"/>
      <c r="L41" s="194"/>
      <c r="M41" s="192"/>
      <c r="N41" s="199"/>
      <c r="O41" s="200"/>
      <c r="P41" s="194"/>
      <c r="Q41" s="135"/>
    </row>
    <row r="42" spans="2:19" ht="25.5" x14ac:dyDescent="0.2">
      <c r="B42" s="166">
        <v>18</v>
      </c>
      <c r="D42" s="27" t="s">
        <v>212</v>
      </c>
      <c r="F42" s="210">
        <f>IF(F40=0,0,F36/F40)</f>
        <v>1.6220487045980093E-2</v>
      </c>
      <c r="G42" s="200"/>
      <c r="H42" s="198">
        <f>IF(H40=0,0,H36/H40)</f>
        <v>8.6600007803871282E-2</v>
      </c>
      <c r="I42" s="192"/>
      <c r="J42" s="210">
        <f>IF(J40=0,0,J36/J40)</f>
        <v>1.6220487045980093E-2</v>
      </c>
      <c r="K42" s="200"/>
      <c r="L42" s="198">
        <f>IF(L40=0,0,L36/L40)</f>
        <v>8.6600010617511963E-2</v>
      </c>
      <c r="M42" s="192"/>
      <c r="N42" s="210">
        <f>IF(N40=0,0,N36/N40)</f>
        <v>1.6220487045980093E-2</v>
      </c>
      <c r="O42" s="200"/>
      <c r="P42" s="198">
        <f>IF(P40=0,0,P36/P40)</f>
        <v>8.6600010617511963E-2</v>
      </c>
      <c r="Q42" s="135"/>
    </row>
    <row r="43" spans="2:19" ht="25.5" x14ac:dyDescent="0.2">
      <c r="B43" s="166">
        <v>19</v>
      </c>
      <c r="D43" s="27" t="s">
        <v>119</v>
      </c>
      <c r="F43" s="218">
        <f>'7. Cost_of_Capital'!L24</f>
        <v>8.6599999999999983E-2</v>
      </c>
      <c r="G43" s="200"/>
      <c r="H43" s="219">
        <f>'7. Cost_of_Capital'!L24</f>
        <v>8.6599999999999983E-2</v>
      </c>
      <c r="I43" s="192"/>
      <c r="J43" s="220">
        <f>'7. Cost_of_Capital'!L40</f>
        <v>8.6599999999999983E-2</v>
      </c>
      <c r="K43" s="200"/>
      <c r="L43" s="219">
        <f>'7. Cost_of_Capital'!L40</f>
        <v>8.6599999999999983E-2</v>
      </c>
      <c r="M43" s="192"/>
      <c r="N43" s="220">
        <f>'7. Cost_of_Capital'!L56</f>
        <v>8.6599999999999983E-2</v>
      </c>
      <c r="O43" s="200"/>
      <c r="P43" s="219">
        <f>'7. Cost_of_Capital'!L56</f>
        <v>8.6599999999999983E-2</v>
      </c>
      <c r="Q43" s="135"/>
    </row>
    <row r="44" spans="2:19" ht="25.5" x14ac:dyDescent="0.2">
      <c r="B44" s="166">
        <v>20</v>
      </c>
      <c r="D44" s="27" t="s">
        <v>207</v>
      </c>
      <c r="F44" s="210">
        <f>F42-F43</f>
        <v>-7.0379512954019896E-2</v>
      </c>
      <c r="G44" s="200"/>
      <c r="H44" s="198">
        <f>H42-H43</f>
        <v>7.8038712991723713E-9</v>
      </c>
      <c r="I44" s="192"/>
      <c r="J44" s="221">
        <f>J42-J43</f>
        <v>-7.0379512954019896E-2</v>
      </c>
      <c r="K44" s="200"/>
      <c r="L44" s="198">
        <f>L42-L43</f>
        <v>1.0617511980726135E-8</v>
      </c>
      <c r="M44" s="192"/>
      <c r="N44" s="221">
        <f>N42-N43</f>
        <v>-7.0379512954019896E-2</v>
      </c>
      <c r="O44" s="200"/>
      <c r="P44" s="198">
        <f>P42-P43</f>
        <v>1.0617511980726135E-8</v>
      </c>
      <c r="Q44" s="135"/>
    </row>
    <row r="45" spans="2:19" x14ac:dyDescent="0.2">
      <c r="B45" s="166"/>
      <c r="F45" s="210"/>
      <c r="G45" s="200"/>
      <c r="H45" s="198"/>
      <c r="I45" s="192"/>
      <c r="J45" s="199"/>
      <c r="K45" s="200"/>
      <c r="L45" s="194"/>
      <c r="M45" s="192"/>
      <c r="N45" s="199"/>
      <c r="O45" s="200"/>
      <c r="P45" s="194"/>
      <c r="Q45" s="135"/>
    </row>
    <row r="46" spans="2:19" x14ac:dyDescent="0.2">
      <c r="B46" s="166">
        <v>21</v>
      </c>
      <c r="D46" s="5" t="s">
        <v>49</v>
      </c>
      <c r="F46" s="210">
        <f>IF(F38=0,0,(F36+F25)/F38)</f>
        <v>2.6770222374409614E-2</v>
      </c>
      <c r="G46" s="200"/>
      <c r="H46" s="198">
        <f>IF(H38=0,0,(H36+H25)/H38)</f>
        <v>5.492203067756609E-2</v>
      </c>
      <c r="I46" s="192"/>
      <c r="J46" s="210">
        <f>IF(J38=0,0,(J36+J25)/J38)</f>
        <v>2.6770222374409614E-2</v>
      </c>
      <c r="K46" s="200"/>
      <c r="L46" s="198">
        <f>IF(L40=0,0,(L36+L25)/L38)</f>
        <v>5.4922031803022367E-2</v>
      </c>
      <c r="M46" s="192"/>
      <c r="N46" s="210">
        <f>IF(N38=0,0,(N36+N25)/N38)</f>
        <v>2.6770222374409614E-2</v>
      </c>
      <c r="O46" s="200"/>
      <c r="P46" s="198">
        <f>IF(P40=0,0,(P36+P25)/P38)</f>
        <v>5.4922031803022367E-2</v>
      </c>
      <c r="Q46" s="135"/>
    </row>
    <row r="47" spans="2:19" ht="25.5" x14ac:dyDescent="0.2">
      <c r="B47" s="166">
        <v>22</v>
      </c>
      <c r="D47" s="27" t="s">
        <v>120</v>
      </c>
      <c r="F47" s="220">
        <f>'7. Cost_of_Capital'!L26</f>
        <v>5.4922027556017571E-2</v>
      </c>
      <c r="G47" s="200"/>
      <c r="H47" s="222">
        <f>'7. Cost_of_Capital'!L26</f>
        <v>5.4922027556017571E-2</v>
      </c>
      <c r="I47" s="192"/>
      <c r="J47" s="220">
        <f>'7. Cost_of_Capital'!L42</f>
        <v>5.4922027556017571E-2</v>
      </c>
      <c r="K47" s="200"/>
      <c r="L47" s="219">
        <f>'7. Cost_of_Capital'!L42</f>
        <v>5.4922027556017571E-2</v>
      </c>
      <c r="M47" s="192"/>
      <c r="N47" s="220">
        <f>'7. Cost_of_Capital'!L58</f>
        <v>5.4922027556017571E-2</v>
      </c>
      <c r="O47" s="200"/>
      <c r="P47" s="219">
        <f>'7. Cost_of_Capital'!L58</f>
        <v>5.4922027556017571E-2</v>
      </c>
      <c r="Q47" s="135"/>
    </row>
    <row r="48" spans="2:19" ht="25.5" x14ac:dyDescent="0.2">
      <c r="B48" s="166">
        <v>23</v>
      </c>
      <c r="D48" s="27" t="s">
        <v>208</v>
      </c>
      <c r="F48" s="221">
        <f>F46-F47</f>
        <v>-2.8151805181607956E-2</v>
      </c>
      <c r="G48" s="200"/>
      <c r="H48" s="223">
        <f>H46-H47</f>
        <v>3.1215485196689485E-9</v>
      </c>
      <c r="I48" s="192"/>
      <c r="J48" s="221">
        <f>J46-J47</f>
        <v>-2.8151805181607956E-2</v>
      </c>
      <c r="K48" s="200"/>
      <c r="L48" s="223">
        <f>L46-L47</f>
        <v>4.2470047964537905E-9</v>
      </c>
      <c r="M48" s="192"/>
      <c r="N48" s="221">
        <f>N46-N47</f>
        <v>-2.8151805181607956E-2</v>
      </c>
      <c r="O48" s="200"/>
      <c r="P48" s="223">
        <f>P46-P47</f>
        <v>4.2470047964537905E-9</v>
      </c>
      <c r="Q48" s="135"/>
    </row>
    <row r="49" spans="2:17" x14ac:dyDescent="0.2">
      <c r="B49" s="166"/>
      <c r="F49" s="199"/>
      <c r="G49" s="200"/>
      <c r="H49" s="194"/>
      <c r="I49" s="192"/>
      <c r="J49" s="199"/>
      <c r="K49" s="200"/>
      <c r="L49" s="194"/>
      <c r="M49" s="192"/>
      <c r="N49" s="199"/>
      <c r="O49" s="200"/>
      <c r="P49" s="194"/>
      <c r="Q49" s="135"/>
    </row>
    <row r="50" spans="2:17" x14ac:dyDescent="0.2">
      <c r="B50" s="166">
        <v>24</v>
      </c>
      <c r="D50" s="5" t="s">
        <v>130</v>
      </c>
      <c r="F50" s="202">
        <f>H50</f>
        <v>3934446.4865489602</v>
      </c>
      <c r="G50" s="224"/>
      <c r="H50" s="201">
        <f>'7. Cost_of_Capital'!P24</f>
        <v>3934446.4865489602</v>
      </c>
      <c r="I50" s="225"/>
      <c r="J50" s="202">
        <f>L50</f>
        <v>3934446.4865489602</v>
      </c>
      <c r="K50" s="224"/>
      <c r="L50" s="201">
        <f>'7. Cost_of_Capital'!P40</f>
        <v>3934446.4865489602</v>
      </c>
      <c r="M50" s="225"/>
      <c r="N50" s="202">
        <f>P50</f>
        <v>3934446.4865489602</v>
      </c>
      <c r="O50" s="224"/>
      <c r="P50" s="201">
        <f>'7. Cost_of_Capital'!P56</f>
        <v>3934446.4865489602</v>
      </c>
      <c r="Q50" s="135"/>
    </row>
    <row r="51" spans="2:17" x14ac:dyDescent="0.2">
      <c r="B51" s="166">
        <v>25</v>
      </c>
      <c r="D51" s="5" t="s">
        <v>161</v>
      </c>
      <c r="F51" s="202">
        <f>F50-F36</f>
        <v>3197510.7097802614</v>
      </c>
      <c r="G51" s="224" t="s">
        <v>121</v>
      </c>
      <c r="H51" s="209">
        <f>H38*H48</f>
        <v>0.35454866067562363</v>
      </c>
      <c r="I51" s="225"/>
      <c r="J51" s="202">
        <f>J50-J36</f>
        <v>3197510.7097802614</v>
      </c>
      <c r="K51" s="224"/>
      <c r="L51" s="209">
        <f>L38*L48</f>
        <v>0.48237913105554842</v>
      </c>
      <c r="M51" s="225"/>
      <c r="N51" s="202">
        <f>N50-N36</f>
        <v>3197510.7097802614</v>
      </c>
      <c r="O51" s="224"/>
      <c r="P51" s="209">
        <f>P38*P48</f>
        <v>0.48237913105554842</v>
      </c>
      <c r="Q51" s="135"/>
    </row>
    <row r="52" spans="2:17" ht="25.5" x14ac:dyDescent="0.2">
      <c r="B52" s="166">
        <v>26</v>
      </c>
      <c r="D52" s="55" t="s">
        <v>160</v>
      </c>
      <c r="F52" s="203">
        <f>F51/(1-F33)</f>
        <v>4350354.7071840288</v>
      </c>
      <c r="G52" s="474" t="s">
        <v>2</v>
      </c>
      <c r="H52" s="226"/>
      <c r="I52" s="225"/>
      <c r="J52" s="203">
        <f>J51/(1-J33)</f>
        <v>4350354.7071840288</v>
      </c>
      <c r="K52" s="474" t="s">
        <v>2</v>
      </c>
      <c r="L52" s="226"/>
      <c r="M52" s="225"/>
      <c r="N52" s="203">
        <f>N51/(1-N33)</f>
        <v>4350354.7071840288</v>
      </c>
      <c r="O52" s="474" t="s">
        <v>2</v>
      </c>
      <c r="P52" s="226"/>
    </row>
    <row r="55" spans="2:17" x14ac:dyDescent="0.2">
      <c r="B55" s="835" t="s">
        <v>42</v>
      </c>
      <c r="C55" s="835"/>
      <c r="D55" s="835"/>
      <c r="E55" s="835"/>
      <c r="F55" s="835"/>
      <c r="G55" s="835"/>
      <c r="H55" s="835"/>
      <c r="I55" s="835"/>
      <c r="J55" s="73"/>
      <c r="K55" s="73"/>
      <c r="L55" s="73"/>
      <c r="M55" s="73"/>
      <c r="N55" s="73"/>
      <c r="O55" s="73"/>
    </row>
    <row r="56" spans="2:17" ht="14.25" x14ac:dyDescent="0.2">
      <c r="B56" s="475" t="s">
        <v>2</v>
      </c>
      <c r="D56" s="777" t="s">
        <v>211</v>
      </c>
      <c r="E56" s="777"/>
      <c r="F56" s="777"/>
      <c r="G56" s="777"/>
      <c r="H56" s="777"/>
      <c r="I56" s="777"/>
      <c r="J56" s="777"/>
      <c r="K56" s="777"/>
      <c r="L56" s="777"/>
      <c r="M56" s="777"/>
      <c r="N56" s="777"/>
      <c r="O56" s="777"/>
      <c r="P56" s="777"/>
    </row>
    <row r="57" spans="2:17" x14ac:dyDescent="0.2">
      <c r="B57" s="353"/>
      <c r="D57" s="827"/>
      <c r="E57" s="827"/>
      <c r="F57" s="827"/>
      <c r="G57" s="827"/>
      <c r="H57" s="827"/>
      <c r="I57" s="827"/>
      <c r="J57" s="827"/>
      <c r="K57" s="827"/>
      <c r="L57" s="827"/>
      <c r="M57" s="827"/>
      <c r="N57" s="827"/>
      <c r="O57" s="827"/>
      <c r="P57" s="827"/>
    </row>
    <row r="58" spans="2:17" x14ac:dyDescent="0.2">
      <c r="B58" s="353"/>
      <c r="D58" s="827"/>
      <c r="E58" s="827"/>
      <c r="F58" s="827"/>
      <c r="G58" s="827"/>
      <c r="H58" s="827"/>
      <c r="I58" s="827"/>
      <c r="J58" s="827"/>
      <c r="K58" s="827"/>
      <c r="L58" s="827"/>
      <c r="M58" s="827"/>
      <c r="N58" s="827"/>
      <c r="O58" s="827"/>
      <c r="P58" s="827"/>
    </row>
    <row r="59" spans="2:17" x14ac:dyDescent="0.2">
      <c r="B59" s="353"/>
      <c r="D59" s="827"/>
      <c r="E59" s="827"/>
      <c r="F59" s="827"/>
      <c r="G59" s="827"/>
      <c r="H59" s="827"/>
      <c r="I59" s="827"/>
      <c r="J59" s="827"/>
      <c r="K59" s="827"/>
      <c r="L59" s="827"/>
      <c r="M59" s="827"/>
      <c r="N59" s="827"/>
      <c r="O59" s="827"/>
      <c r="P59" s="827"/>
    </row>
    <row r="60" spans="2:17" x14ac:dyDescent="0.2">
      <c r="B60" s="353"/>
      <c r="D60" s="827"/>
      <c r="E60" s="827"/>
      <c r="F60" s="827"/>
      <c r="G60" s="827"/>
      <c r="H60" s="827"/>
      <c r="I60" s="827"/>
      <c r="J60" s="827"/>
      <c r="K60" s="827"/>
      <c r="L60" s="827"/>
      <c r="M60" s="827"/>
      <c r="N60" s="827"/>
      <c r="O60" s="827"/>
      <c r="P60" s="827"/>
    </row>
  </sheetData>
  <sheetProtection algorithmName="SHA-512" hashValue="tb5Zy5vgs2dJMXuxJMjQKtGCQIMetxVPuljJCpoZ2JWlllsI8E69PTf4slgAGQqyx7bnSyRbO5FXAWCdtu4nyw==" saltValue="NCm+i9a9ydgmjkUv61eQPw==" spinCount="100000" sheet="1" objects="1" scenarios="1"/>
  <mergeCells count="22">
    <mergeCell ref="C1:O1"/>
    <mergeCell ref="C2:O2"/>
    <mergeCell ref="C3:O3"/>
    <mergeCell ref="C4:H4"/>
    <mergeCell ref="B55:I55"/>
    <mergeCell ref="D15:D16"/>
    <mergeCell ref="B15:B16"/>
    <mergeCell ref="F13:H13"/>
    <mergeCell ref="D60:P60"/>
    <mergeCell ref="D56:P56"/>
    <mergeCell ref="D58:P58"/>
    <mergeCell ref="D59:P59"/>
    <mergeCell ref="F8:P8"/>
    <mergeCell ref="H15:H16"/>
    <mergeCell ref="P15:P16"/>
    <mergeCell ref="F15:F16"/>
    <mergeCell ref="N13:P13"/>
    <mergeCell ref="N15:N16"/>
    <mergeCell ref="J13:L13"/>
    <mergeCell ref="J15:J16"/>
    <mergeCell ref="L15:L16"/>
    <mergeCell ref="D57:P57"/>
  </mergeCells>
  <phoneticPr fontId="2" type="noConversion"/>
  <conditionalFormatting sqref="J13:L13">
    <cfRule type="cellIs" dxfId="61" priority="1" stopIfTrue="1" operator="equal">
      <formula>""</formula>
    </cfRule>
  </conditionalFormatting>
  <pageMargins left="0.31496062992125984" right="0.31496062992125984" top="0.74803149606299213" bottom="0.74803149606299213" header="0.31496062992125984" footer="0.31496062992125984"/>
  <pageSetup scale="70" orientation="portrait" r:id="rId1"/>
  <ignoredErrors>
    <ignoredError sqref="F3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B227697F19F8B4DA3D5C2B74C50E32F" ma:contentTypeVersion="11" ma:contentTypeDescription="Create a new document." ma:contentTypeScope="" ma:versionID="b6aee784bd840b65af57fc2b35832e1c">
  <xsd:schema xmlns:xsd="http://www.w3.org/2001/XMLSchema" xmlns:xs="http://www.w3.org/2001/XMLSchema" xmlns:p="http://schemas.microsoft.com/office/2006/metadata/properties" xmlns:ns2="033d26b1-57eb-4b60-9c03-6b92d80595e4" xmlns:ns3="0f88fa1a-2dfd-460a-bd62-5264ee380bca" targetNamespace="http://schemas.microsoft.com/office/2006/metadata/properties" ma:root="true" ma:fieldsID="adee49a025b0f48a2887c5754bb363e6" ns2:_="" ns3:_="">
    <xsd:import namespace="033d26b1-57eb-4b60-9c03-6b92d80595e4"/>
    <xsd:import namespace="0f88fa1a-2dfd-460a-bd62-5264ee380b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d26b1-57eb-4b60-9c03-6b92d8059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88fa1a-2dfd-460a-bd62-5264ee380b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CD9B11-B198-4012-8C4E-69D1241329A2}">
  <ds:schemaRefs>
    <ds:schemaRef ds:uri="033d26b1-57eb-4b60-9c03-6b92d80595e4"/>
    <ds:schemaRef ds:uri="http://purl.org/dc/dcmitype/"/>
    <ds:schemaRef ds:uri="http://purl.org/dc/elements/1.1/"/>
    <ds:schemaRef ds:uri="http://schemas.microsoft.com/office/2006/documentManagement/types"/>
    <ds:schemaRef ds:uri="http://www.w3.org/XML/1998/namespace"/>
    <ds:schemaRef ds:uri="http://schemas.openxmlformats.org/package/2006/metadata/core-properties"/>
    <ds:schemaRef ds:uri="http://purl.org/dc/terms/"/>
    <ds:schemaRef ds:uri="0f88fa1a-2dfd-460a-bd62-5264ee380bca"/>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6EA4E29-9F4E-4626-9AE9-64DC75AC97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3d26b1-57eb-4b60-9c03-6b92d80595e4"/>
    <ds:schemaRef ds:uri="0f88fa1a-2dfd-460a-bd62-5264ee380b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044FA1-7C6A-4B1F-8A98-7DC41C0485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41</vt:i4>
      </vt:variant>
    </vt:vector>
  </HeadingPairs>
  <TitlesOfParts>
    <vt:vector size="58" baseType="lpstr">
      <vt:lpstr>1. Info</vt:lpstr>
      <vt:lpstr>2. Table of Contents</vt:lpstr>
      <vt:lpstr>3. Data_Input_Sheet</vt:lpstr>
      <vt:lpstr>Hidden_Data Input</vt:lpstr>
      <vt:lpstr>4. Rate_Base</vt:lpstr>
      <vt:lpstr>5. Utility Income</vt:lpstr>
      <vt:lpstr>6. Taxes_PILs</vt:lpstr>
      <vt:lpstr>7. Cost_of_Capital</vt:lpstr>
      <vt:lpstr>8. Rev_Def_Suff</vt:lpstr>
      <vt:lpstr>9. Rev_Reqt</vt:lpstr>
      <vt:lpstr>Hidden Data_Rev Reqt</vt:lpstr>
      <vt:lpstr>10. Load Forecast</vt:lpstr>
      <vt:lpstr>11. Cost_Allocation</vt:lpstr>
      <vt:lpstr>12. Res_Rate_Design</vt:lpstr>
      <vt:lpstr>13. Rate Design</vt:lpstr>
      <vt:lpstr>14. Tracking_Sheet</vt:lpstr>
      <vt:lpstr>Sheet4</vt:lpstr>
      <vt:lpstr>_10._Load_Forecast</vt:lpstr>
      <vt:lpstr>_10._Load_Forecast_A1</vt:lpstr>
      <vt:lpstr>_11._Cost_Allocation_A1</vt:lpstr>
      <vt:lpstr>_12._Rate_Design_A1</vt:lpstr>
      <vt:lpstr>_13._Tracking_Sheet_A1</vt:lpstr>
      <vt:lpstr>'13. Rate Design'!A</vt:lpstr>
      <vt:lpstr>'13. Rate Design'!brant</vt:lpstr>
      <vt:lpstr>'13. Rate Design'!D</vt:lpstr>
      <vt:lpstr>'13. Rate Design'!G</vt:lpstr>
      <vt:lpstr>'13. Rate Design'!h1b</vt:lpstr>
      <vt:lpstr>'13. Rate Design'!honi</vt:lpstr>
      <vt:lpstr>'13. Rate Design'!horizon</vt:lpstr>
      <vt:lpstr>'13. Rate Design'!J</vt:lpstr>
      <vt:lpstr>'13. Rate Design'!kenora</vt:lpstr>
      <vt:lpstr>'13. Rate Design'!M</vt:lpstr>
      <vt:lpstr>'13. Rate Design'!milton</vt:lpstr>
      <vt:lpstr>'13. Rate Design'!nia</vt:lpstr>
      <vt:lpstr>'13. Rate Design'!norfolk</vt:lpstr>
      <vt:lpstr>'13. Rate Design'!oshawa</vt:lpstr>
      <vt:lpstr>'13. Rate Design'!ott</vt:lpstr>
      <vt:lpstr>'1. Info'!Print_Area</vt:lpstr>
      <vt:lpstr>'10. Load Forecast'!Print_Area</vt:lpstr>
      <vt:lpstr>'11. Cost_Allocation'!Print_Area</vt:lpstr>
      <vt:lpstr>'12. Res_Rate_Design'!Print_Area</vt:lpstr>
      <vt:lpstr>'13. Rate Design'!Print_Area</vt:lpstr>
      <vt:lpstr>'14. Tracking_Sheet'!Print_Area</vt:lpstr>
      <vt:lpstr>'2. Table of Contents'!Print_Area</vt:lpstr>
      <vt:lpstr>'3. Data_Input_Sheet'!Print_Area</vt:lpstr>
      <vt:lpstr>'4. Rate_Base'!Print_Area</vt:lpstr>
      <vt:lpstr>'5. Utility Income'!Print_Area</vt:lpstr>
      <vt:lpstr>'6. Taxes_PILs'!Print_Area</vt:lpstr>
      <vt:lpstr>'7. Cost_of_Capital'!Print_Area</vt:lpstr>
      <vt:lpstr>'8. Rev_Def_Suff'!Print_Area</vt:lpstr>
      <vt:lpstr>'9. Rev_Reqt'!Print_Area</vt:lpstr>
      <vt:lpstr>'14. Tracking_Sheet'!Print_Titles</vt:lpstr>
      <vt:lpstr>'13. Rate Design'!renfrew</vt:lpstr>
      <vt:lpstr>'13. Rate Design'!S</vt:lpstr>
      <vt:lpstr>'13. Rate Design'!thesl</vt:lpstr>
      <vt:lpstr>'13. Rate Design'!V</vt:lpstr>
      <vt:lpstr>'13. Rate Design'!wasaga</vt:lpstr>
      <vt:lpstr>'13. Rate Design'!wn</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C. Ritchie</dc:creator>
  <cp:lastModifiedBy>Mustapha El-Baba</cp:lastModifiedBy>
  <cp:lastPrinted>2022-04-06T18:04:18Z</cp:lastPrinted>
  <dcterms:created xsi:type="dcterms:W3CDTF">2008-10-20T17:39:17Z</dcterms:created>
  <dcterms:modified xsi:type="dcterms:W3CDTF">2022-04-12T16:57:15Z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0x0101005B227697F19F8B4DA3D5C2B74C50E32F</vt:lpwstr>
  </property>
</Properties>
</file>