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codeName="ThisWorkbook"/>
  <mc:AlternateContent xmlns:mc="http://schemas.openxmlformats.org/markup-compatibility/2006">
    <mc:Choice Requires="x15">
      <x15ac:absPath xmlns:x15ac="http://schemas.microsoft.com/office/spreadsheetml/2010/11/ac" url="\\vfile3\Finance\Regulatory files\Rate Applications\Year 2022 Future Year Rate Application\Interrogatories\MAB IR's\3-LPMA-28\"/>
    </mc:Choice>
  </mc:AlternateContent>
  <xr:revisionPtr revIDLastSave="0" documentId="13_ncr:1_{654A926F-7F86-4818-89CF-C38BA8656C66}" xr6:coauthVersionLast="36" xr6:coauthVersionMax="36" xr10:uidLastSave="{00000000-0000-0000-0000-000000000000}"/>
  <bookViews>
    <workbookView xWindow="-120" yWindow="-120" windowWidth="51840" windowHeight="21240" tabRatio="871" activeTab="1" xr2:uid="{00000000-000D-0000-FFFF-FFFF00000000}"/>
  </bookViews>
  <sheets>
    <sheet name="Admin" sheetId="30" r:id="rId1"/>
    <sheet name="Wholesale Forecast" sheetId="31" r:id="rId2"/>
    <sheet name="Forecast Accuracy" sheetId="7" r:id="rId3"/>
    <sheet name="Rate Class Customer Model" sheetId="4" r:id="rId4"/>
    <sheet name="WMP" sheetId="14" r:id="rId5"/>
    <sheet name="Rate Class Energy Model" sheetId="5" r:id="rId6"/>
    <sheet name="Rate Class Demand Model" sheetId="8" r:id="rId7"/>
    <sheet name="Transformer Allowance" sheetId="32" r:id="rId8"/>
    <sheet name="Detailed Summary" sheetId="9" state="hidden" r:id="rId9"/>
    <sheet name="Summary" sheetId="19" r:id="rId10"/>
    <sheet name="Sheet1" sheetId="34" state="hidden" r:id="rId11"/>
    <sheet name="CA Customers" sheetId="35" state="hidden" r:id="rId12"/>
    <sheet name="COP Rates" sheetId="20" state="hidden" r:id="rId13"/>
    <sheet name="COP Forecast" sheetId="25" state="hidden" r:id="rId14"/>
    <sheet name="2016 Revenue at Old Rates" sheetId="29" state="hidden" r:id="rId15"/>
    <sheet name="Market Participant" sheetId="11" state="hidden"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Order1" hidden="1">255</definedName>
    <definedName name="_Sort" hidden="1">[1]Sheet1!$G$40:$K$40</definedName>
    <definedName name="BI_LDCLIST">'[2]3. Rate Class Selection'!$B$19:$B$21</definedName>
    <definedName name="BridgeYear">'[3]LDC Info'!$E$26</definedName>
    <definedName name="CAfile">[4]Refs!$B$2</definedName>
    <definedName name="CArevReq">[4]Refs!$B$6</definedName>
    <definedName name="ClassRange1">[4]Refs!$B$3</definedName>
    <definedName name="ClassRange2">[4]Refs!$B$4</definedName>
    <definedName name="contactf" localSheetId="14">#REF!</definedName>
    <definedName name="contactf">#REF!</definedName>
    <definedName name="CustomerAdministration">[3]lists!$Z$1:$Z$36</definedName>
    <definedName name="EBNUMBER">'[3]LDC Info'!$E$16</definedName>
    <definedName name="Fixed_Charges">[3]lists!$I$1:$I$212</definedName>
    <definedName name="FolderPath">[4]Menu!$C$8</definedName>
    <definedName name="histdate">[5]Financials!$E$76</definedName>
    <definedName name="Incr2000" localSheetId="14">#REF!</definedName>
    <definedName name="Incr2000">#REF!</definedName>
    <definedName name="LDC_LIST">[6]lists!$AM$1:$AM$80</definedName>
    <definedName name="LIMIT" localSheetId="14">#REF!</definedName>
    <definedName name="LIMIT">#REF!</definedName>
    <definedName name="LossFactors">[3]lists!$L$2:$L$15</definedName>
    <definedName name="man_beg_bud" localSheetId="14">#REF!</definedName>
    <definedName name="man_beg_bud">#REF!</definedName>
    <definedName name="man_end_bud" localSheetId="14">#REF!</definedName>
    <definedName name="man_end_bud">#REF!</definedName>
    <definedName name="man12ACT" localSheetId="14">#REF!</definedName>
    <definedName name="man12ACT">#REF!</definedName>
    <definedName name="MANBUD" localSheetId="14">#REF!</definedName>
    <definedName name="MANBUD">#REF!</definedName>
    <definedName name="manCYACT" localSheetId="14">#REF!</definedName>
    <definedName name="manCYACT">#REF!</definedName>
    <definedName name="manCYBUD" localSheetId="14">#REF!</definedName>
    <definedName name="manCYBUD">#REF!</definedName>
    <definedName name="manCYF" localSheetId="14">#REF!</definedName>
    <definedName name="manCYF">#REF!</definedName>
    <definedName name="MANEND" localSheetId="14">#REF!</definedName>
    <definedName name="MANEND">#REF!</definedName>
    <definedName name="manNYbud" localSheetId="14">#REF!</definedName>
    <definedName name="manNYbud">#REF!</definedName>
    <definedName name="manpower_costs" localSheetId="14">#REF!</definedName>
    <definedName name="manpower_costs">#REF!</definedName>
    <definedName name="manPYACT" localSheetId="14">#REF!</definedName>
    <definedName name="manPYACT">#REF!</definedName>
    <definedName name="MANSTART" localSheetId="14">#REF!</definedName>
    <definedName name="MANSTART">#REF!</definedName>
    <definedName name="mat_beg_bud" localSheetId="14">#REF!</definedName>
    <definedName name="mat_beg_bud">#REF!</definedName>
    <definedName name="mat_end_bud" localSheetId="14">#REF!</definedName>
    <definedName name="mat_end_bud">#REF!</definedName>
    <definedName name="mat12ACT" localSheetId="14">#REF!</definedName>
    <definedName name="mat12ACT">#REF!</definedName>
    <definedName name="MATBUD" localSheetId="14">#REF!</definedName>
    <definedName name="MATBUD">#REF!</definedName>
    <definedName name="matCYACT" localSheetId="14">#REF!</definedName>
    <definedName name="matCYACT">#REF!</definedName>
    <definedName name="matCYBUD" localSheetId="14">#REF!</definedName>
    <definedName name="matCYBUD">#REF!</definedName>
    <definedName name="matCYF" localSheetId="14">#REF!</definedName>
    <definedName name="matCYF">#REF!</definedName>
    <definedName name="MATEND" localSheetId="14">#REF!</definedName>
    <definedName name="MATEND">#REF!</definedName>
    <definedName name="material_costs" localSheetId="14">#REF!</definedName>
    <definedName name="material_costs">#REF!</definedName>
    <definedName name="matNYbud" localSheetId="14">#REF!</definedName>
    <definedName name="matNYbud">#REF!</definedName>
    <definedName name="matPYACT" localSheetId="14">#REF!</definedName>
    <definedName name="matPYACT">#REF!</definedName>
    <definedName name="MATSTART" localSheetId="14">#REF!</definedName>
    <definedName name="MATSTART">#REF!</definedName>
    <definedName name="NewRevReq">[4]Refs!$B$8</definedName>
    <definedName name="NonPayment">[3]lists!$AA$1:$AA$71</definedName>
    <definedName name="oth_beg_bud" localSheetId="14">#REF!</definedName>
    <definedName name="oth_beg_bud">#REF!</definedName>
    <definedName name="oth_end_bud" localSheetId="14">#REF!</definedName>
    <definedName name="oth_end_bud">#REF!</definedName>
    <definedName name="oth12ACT" localSheetId="14">#REF!</definedName>
    <definedName name="oth12ACT">#REF!</definedName>
    <definedName name="othCYACT" localSheetId="14">#REF!</definedName>
    <definedName name="othCYACT">#REF!</definedName>
    <definedName name="othCYBUD" localSheetId="14">#REF!</definedName>
    <definedName name="othCYBUD">#REF!</definedName>
    <definedName name="othCYF" localSheetId="14">#REF!</definedName>
    <definedName name="othCYF">#REF!</definedName>
    <definedName name="OTHEND" localSheetId="14">#REF!</definedName>
    <definedName name="OTHEND">#REF!</definedName>
    <definedName name="other_costs" localSheetId="14">#REF!</definedName>
    <definedName name="other_costs">#REF!</definedName>
    <definedName name="OTHERBUD" localSheetId="14">#REF!</definedName>
    <definedName name="OTHERBUD">#REF!</definedName>
    <definedName name="othNYbud" localSheetId="14">#REF!</definedName>
    <definedName name="othNYbud">#REF!</definedName>
    <definedName name="othPYACT" localSheetId="14">#REF!</definedName>
    <definedName name="othPYACT">#REF!</definedName>
    <definedName name="OTHSTART" localSheetId="14">#REF!</definedName>
    <definedName name="OTHSTART">#REF!</definedName>
    <definedName name="PAGE11" localSheetId="14">#REF!</definedName>
    <definedName name="PAGE11" localSheetId="15">#REF!</definedName>
    <definedName name="PAGE11" localSheetId="6">#REF!</definedName>
    <definedName name="PAGE11">#REF!</definedName>
    <definedName name="PAGE2">[1]Sheet1!$A$1:$I$40</definedName>
    <definedName name="PAGE3" localSheetId="14">#REF!</definedName>
    <definedName name="PAGE3" localSheetId="15">#REF!</definedName>
    <definedName name="PAGE3" localSheetId="6">#REF!</definedName>
    <definedName name="PAGE3">#REF!</definedName>
    <definedName name="PAGE4" localSheetId="14">#REF!</definedName>
    <definedName name="PAGE4" localSheetId="15">#REF!</definedName>
    <definedName name="PAGE4" localSheetId="6">#REF!</definedName>
    <definedName name="PAGE4">#REF!</definedName>
    <definedName name="PAGE7" localSheetId="14">#REF!</definedName>
    <definedName name="PAGE7" localSheetId="15">#REF!</definedName>
    <definedName name="PAGE7" localSheetId="6">#REF!</definedName>
    <definedName name="PAGE7">#REF!</definedName>
    <definedName name="PAGE9" localSheetId="14">#REF!</definedName>
    <definedName name="PAGE9" localSheetId="15">#REF!</definedName>
    <definedName name="PAGE9" localSheetId="6">#REF!</definedName>
    <definedName name="PAGE9">#REF!</definedName>
    <definedName name="_xlnm.Print_Area" localSheetId="14">'2016 Revenue at Old Rates'!$A$1:$F$66</definedName>
    <definedName name="_xlnm.Print_Area" localSheetId="13">'COP Forecast'!$A$1:$M$64</definedName>
    <definedName name="_xlnm.Print_Area" localSheetId="12">'COP Rates'!$A$1:$H$60</definedName>
    <definedName name="_xlnm.Print_Area" localSheetId="8">'Detailed Summary'!$A$1:$B$52</definedName>
    <definedName name="_xlnm.Print_Area" localSheetId="2">'Forecast Accuracy'!$A$1:$K$13</definedName>
    <definedName name="_xlnm.Print_Area" localSheetId="15">'Market Participant'!$A$1:$D$4</definedName>
    <definedName name="_xlnm.Print_Area" localSheetId="3">'Rate Class Customer Model'!$A$1:$J$34</definedName>
    <definedName name="_xlnm.Print_Area" localSheetId="6">'Rate Class Demand Model'!$A$1:$L$29</definedName>
    <definedName name="_xlnm.Print_Area" localSheetId="5">'Rate Class Energy Model'!$A$1:$J$49</definedName>
    <definedName name="_xlnm.Print_Area" localSheetId="9">Summary!$A$1:$H$35</definedName>
    <definedName name="print_end" localSheetId="14">#REF!</definedName>
    <definedName name="print_end">#REF!</definedName>
    <definedName name="_xlnm.Print_Titles" localSheetId="5">'Rate Class Energy Model'!$1:$7</definedName>
    <definedName name="Rate_Class">[3]lists!$A$1:$A$104</definedName>
    <definedName name="ratedescription">[7]hidden1!$D$1:$D$122</definedName>
    <definedName name="RebaseYear">'[3]LDC Info'!$E$28</definedName>
    <definedName name="RevReqLookupKey">[4]Refs!$B$5</definedName>
    <definedName name="RevReqRange">[4]Refs!$B$7</definedName>
    <definedName name="RRRP_15">'[8]Regulatory Rates'!$D$6</definedName>
    <definedName name="SALBENF" localSheetId="14">#REF!</definedName>
    <definedName name="SALBENF">#REF!</definedName>
    <definedName name="salreg" localSheetId="14">#REF!</definedName>
    <definedName name="salreg">#REF!</definedName>
    <definedName name="SALREGF" localSheetId="14">#REF!</definedName>
    <definedName name="SALREGF">#REF!</definedName>
    <definedName name="SM_15">'[8]Regulatory Rates'!$D$7</definedName>
    <definedName name="TEMPA" localSheetId="14">#REF!</definedName>
    <definedName name="TEMPA">#REF!</definedName>
    <definedName name="TestYear">'[3]LDC Info'!$E$24</definedName>
    <definedName name="total_dept" localSheetId="14">#REF!</definedName>
    <definedName name="total_dept">#REF!</definedName>
    <definedName name="total_manpower" localSheetId="14">#REF!</definedName>
    <definedName name="total_manpower">#REF!</definedName>
    <definedName name="total_material" localSheetId="14">#REF!</definedName>
    <definedName name="total_material">#REF!</definedName>
    <definedName name="total_other" localSheetId="14">#REF!</definedName>
    <definedName name="total_other">#REF!</definedName>
    <definedName name="total_transportation" localSheetId="14">#REF!</definedName>
    <definedName name="total_transportation">#REF!</definedName>
    <definedName name="TRANBUD" localSheetId="14">#REF!</definedName>
    <definedName name="TRANBUD">#REF!</definedName>
    <definedName name="TRANEND" localSheetId="14">#REF!</definedName>
    <definedName name="TRANEND">#REF!</definedName>
    <definedName name="transportation_costs" localSheetId="14">#REF!</definedName>
    <definedName name="transportation_costs">#REF!</definedName>
    <definedName name="TRANSTART" localSheetId="14">#REF!</definedName>
    <definedName name="TRANSTART">#REF!</definedName>
    <definedName name="trn_beg_bud" localSheetId="14">#REF!</definedName>
    <definedName name="trn_beg_bud">#REF!</definedName>
    <definedName name="trn_end_bud" localSheetId="14">#REF!</definedName>
    <definedName name="trn_end_bud">#REF!</definedName>
    <definedName name="trn12ACT" localSheetId="14">#REF!</definedName>
    <definedName name="trn12ACT">#REF!</definedName>
    <definedName name="trnCYACT" localSheetId="14">#REF!</definedName>
    <definedName name="trnCYACT">#REF!</definedName>
    <definedName name="trnCYBUD" localSheetId="14">#REF!</definedName>
    <definedName name="trnCYBUD">#REF!</definedName>
    <definedName name="trnCYF" localSheetId="14">#REF!</definedName>
    <definedName name="trnCYF">#REF!</definedName>
    <definedName name="trnNYbud" localSheetId="14">#REF!</definedName>
    <definedName name="trnNYbud">#REF!</definedName>
    <definedName name="trnPYACT" localSheetId="14">#REF!</definedName>
    <definedName name="trnPYACT">#REF!</definedName>
    <definedName name="Units">[3]lists!$N$2:$N$5</definedName>
    <definedName name="Utility">[5]Financials!$A$1</definedName>
    <definedName name="utitliy1">[9]Financials!$A$1</definedName>
    <definedName name="WAGBENF" localSheetId="14">#REF!</definedName>
    <definedName name="WAGBENF">#REF!</definedName>
    <definedName name="wagdob" localSheetId="14">#REF!</definedName>
    <definedName name="wagdob">#REF!</definedName>
    <definedName name="wagdobf" localSheetId="14">#REF!</definedName>
    <definedName name="wagdobf">#REF!</definedName>
    <definedName name="wagreg" localSheetId="14">#REF!</definedName>
    <definedName name="wagreg">#REF!</definedName>
    <definedName name="wagregf" localSheetId="14">#REF!</definedName>
    <definedName name="wagregf">#REF!</definedName>
    <definedName name="WMS_15">'[8]Regulatory Rates'!$D$5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5" l="1"/>
  <c r="B16" i="5"/>
  <c r="B17" i="5"/>
  <c r="G16" i="5" l="1"/>
  <c r="E22" i="8"/>
  <c r="E10" i="32"/>
  <c r="E16" i="32" s="1"/>
  <c r="F16" i="32" s="1"/>
  <c r="E11" i="32"/>
  <c r="E17" i="32" s="1"/>
  <c r="F17" i="32" s="1"/>
  <c r="E12" i="32"/>
  <c r="E18" i="32" s="1"/>
  <c r="F18" i="32" s="1"/>
  <c r="E9" i="32"/>
  <c r="E15" i="32" s="1"/>
  <c r="F15" i="32" s="1"/>
  <c r="E15" i="5" l="1"/>
  <c r="F15" i="5"/>
  <c r="G15" i="5"/>
  <c r="H15" i="5"/>
  <c r="I15" i="5"/>
  <c r="J9" i="5"/>
  <c r="F9" i="8"/>
  <c r="L9" i="8" s="1"/>
  <c r="B14" i="8"/>
  <c r="F10" i="8"/>
  <c r="F9" i="32" s="1"/>
  <c r="G14" i="8"/>
  <c r="B18" i="5"/>
  <c r="F11" i="8"/>
  <c r="F10" i="32" s="1"/>
  <c r="F13" i="8"/>
  <c r="F12" i="32" s="1"/>
  <c r="F12" i="8"/>
  <c r="F11" i="32" s="1"/>
  <c r="B19" i="5"/>
  <c r="D13" i="4"/>
  <c r="C13" i="4"/>
  <c r="D12" i="4"/>
  <c r="C12" i="4"/>
  <c r="D11" i="4"/>
  <c r="C11" i="4"/>
  <c r="D10" i="4"/>
  <c r="C10" i="4"/>
  <c r="D9" i="4"/>
  <c r="D15" i="5" s="1"/>
  <c r="C9" i="4"/>
  <c r="C15" i="5" s="1"/>
  <c r="B21" i="5" l="1"/>
  <c r="D21" i="4"/>
  <c r="B21" i="4"/>
  <c r="C21" i="4"/>
  <c r="E21" i="4"/>
  <c r="F21" i="4"/>
  <c r="G21" i="4"/>
  <c r="H21" i="4"/>
  <c r="I21" i="4"/>
  <c r="J9" i="4"/>
  <c r="C22" i="4"/>
  <c r="H25" i="32" l="1"/>
  <c r="I25" i="32"/>
  <c r="J25" i="32"/>
  <c r="K25" i="32"/>
  <c r="E19" i="32"/>
  <c r="F19" i="32"/>
  <c r="H19" i="32"/>
  <c r="I19" i="32"/>
  <c r="J19" i="32"/>
  <c r="K19" i="32"/>
  <c r="D19" i="32"/>
  <c r="E13" i="32"/>
  <c r="F13" i="32"/>
  <c r="H13" i="32"/>
  <c r="I13" i="32"/>
  <c r="J13" i="32"/>
  <c r="K13" i="32"/>
  <c r="C14" i="8"/>
  <c r="K14" i="8"/>
  <c r="E14" i="8"/>
  <c r="H14" i="8"/>
  <c r="I14" i="8"/>
  <c r="J14" i="8"/>
  <c r="E46" i="9"/>
  <c r="E45" i="9"/>
  <c r="E43" i="9"/>
  <c r="E42" i="9"/>
  <c r="E41" i="9"/>
  <c r="E39" i="9"/>
  <c r="E38" i="9"/>
  <c r="E37" i="9"/>
  <c r="E35" i="9"/>
  <c r="E34" i="9"/>
  <c r="E33" i="9"/>
  <c r="E30" i="9"/>
  <c r="E29" i="9"/>
  <c r="E27" i="9"/>
  <c r="E26" i="9"/>
  <c r="D46" i="9"/>
  <c r="D45" i="9"/>
  <c r="D43" i="9"/>
  <c r="D42" i="9"/>
  <c r="D41" i="9"/>
  <c r="D39" i="9"/>
  <c r="D38" i="9"/>
  <c r="D37" i="9"/>
  <c r="D35" i="9"/>
  <c r="D34" i="9"/>
  <c r="D33" i="9"/>
  <c r="D30" i="9"/>
  <c r="D29" i="9"/>
  <c r="D27" i="9"/>
  <c r="D26" i="9"/>
  <c r="C46" i="9"/>
  <c r="C45" i="9"/>
  <c r="C43" i="9"/>
  <c r="C42" i="9"/>
  <c r="C41" i="9"/>
  <c r="C39" i="9"/>
  <c r="C38" i="9"/>
  <c r="C37" i="9"/>
  <c r="C35" i="9"/>
  <c r="C34" i="9"/>
  <c r="C33" i="9"/>
  <c r="C30" i="9"/>
  <c r="C29" i="9"/>
  <c r="C27" i="9"/>
  <c r="C26" i="9"/>
  <c r="B46" i="9"/>
  <c r="B45" i="9"/>
  <c r="B43" i="9"/>
  <c r="B42" i="9"/>
  <c r="B41" i="9"/>
  <c r="B39" i="9"/>
  <c r="B38" i="9"/>
  <c r="B37" i="9"/>
  <c r="B35" i="9"/>
  <c r="B34" i="9"/>
  <c r="B33" i="9"/>
  <c r="B30" i="9"/>
  <c r="B29" i="9"/>
  <c r="B27" i="9"/>
  <c r="B26" i="9"/>
  <c r="E22" i="9"/>
  <c r="D22" i="9"/>
  <c r="C22" i="9"/>
  <c r="B22" i="9"/>
  <c r="E18" i="9"/>
  <c r="D18" i="9"/>
  <c r="C18" i="9"/>
  <c r="B18" i="9"/>
  <c r="E17" i="9"/>
  <c r="D17" i="9"/>
  <c r="C17" i="9"/>
  <c r="B17" i="9"/>
  <c r="E31" i="9"/>
  <c r="E51" i="9" l="1"/>
  <c r="B50" i="9"/>
  <c r="D50" i="9"/>
  <c r="C51" i="9"/>
  <c r="D51" i="9"/>
  <c r="B51" i="9"/>
  <c r="E52" i="9"/>
  <c r="C50" i="9"/>
  <c r="E50" i="9"/>
  <c r="F14" i="8" l="1"/>
  <c r="E21" i="9" l="1"/>
  <c r="E25" i="9"/>
  <c r="D25" i="9"/>
  <c r="C25" i="9"/>
  <c r="B25" i="9"/>
  <c r="D21" i="9"/>
  <c r="C21" i="9"/>
  <c r="B21" i="9"/>
  <c r="E21" i="32" l="1"/>
  <c r="F21" i="32"/>
  <c r="E22" i="32"/>
  <c r="F22" i="32"/>
  <c r="E23" i="32"/>
  <c r="F23" i="32"/>
  <c r="E24" i="32"/>
  <c r="F24" i="32"/>
  <c r="L15" i="32"/>
  <c r="L16" i="32"/>
  <c r="L17" i="32"/>
  <c r="L18" i="32"/>
  <c r="D9" i="32"/>
  <c r="D21" i="32" s="1"/>
  <c r="G9" i="32"/>
  <c r="D10" i="32"/>
  <c r="L10" i="32" s="1"/>
  <c r="G10" i="32"/>
  <c r="D11" i="32"/>
  <c r="L11" i="32" s="1"/>
  <c r="G11" i="32"/>
  <c r="D12" i="32"/>
  <c r="L12" i="32" s="1"/>
  <c r="G12" i="32"/>
  <c r="D16" i="8"/>
  <c r="H16" i="8"/>
  <c r="I16" i="8"/>
  <c r="J16" i="8"/>
  <c r="D17" i="8"/>
  <c r="H17" i="8"/>
  <c r="I17" i="8"/>
  <c r="J17" i="8"/>
  <c r="D18" i="8"/>
  <c r="H18" i="8"/>
  <c r="I18" i="8"/>
  <c r="J18" i="8"/>
  <c r="D19" i="8"/>
  <c r="H19" i="8"/>
  <c r="I19" i="8"/>
  <c r="J19" i="8"/>
  <c r="L10" i="8"/>
  <c r="C31" i="9"/>
  <c r="C52" i="9" s="1"/>
  <c r="L11" i="8"/>
  <c r="D31" i="9"/>
  <c r="D52" i="9" s="1"/>
  <c r="L12" i="8"/>
  <c r="L13" i="8"/>
  <c r="C16" i="5"/>
  <c r="C21" i="5" s="1"/>
  <c r="D16" i="5"/>
  <c r="D21" i="5" s="1"/>
  <c r="E16" i="5"/>
  <c r="E21" i="5" s="1"/>
  <c r="F16" i="5"/>
  <c r="F21" i="5" s="1"/>
  <c r="G21" i="5"/>
  <c r="H16" i="5"/>
  <c r="H21" i="5" s="1"/>
  <c r="I16" i="5"/>
  <c r="I21" i="5" s="1"/>
  <c r="C17" i="5"/>
  <c r="D17" i="5"/>
  <c r="E17" i="5"/>
  <c r="F17" i="5"/>
  <c r="G17" i="5"/>
  <c r="H17" i="5"/>
  <c r="I17" i="5"/>
  <c r="B23" i="5"/>
  <c r="C18" i="5"/>
  <c r="D18" i="5"/>
  <c r="E18" i="5"/>
  <c r="F18" i="5"/>
  <c r="G18" i="5"/>
  <c r="H18" i="5"/>
  <c r="I18" i="5"/>
  <c r="C19" i="5"/>
  <c r="D19" i="5"/>
  <c r="E19" i="5"/>
  <c r="F19" i="5"/>
  <c r="G19" i="5"/>
  <c r="H19" i="5"/>
  <c r="I19" i="5"/>
  <c r="J10" i="5"/>
  <c r="I9" i="7" s="1"/>
  <c r="B13" i="9" s="1"/>
  <c r="B54" i="9" s="1"/>
  <c r="J11" i="5"/>
  <c r="I10" i="7" s="1"/>
  <c r="C13" i="9" s="1"/>
  <c r="C54" i="9" s="1"/>
  <c r="J12" i="5"/>
  <c r="I11" i="7" s="1"/>
  <c r="D13" i="9" s="1"/>
  <c r="D54" i="9" s="1"/>
  <c r="J13" i="5"/>
  <c r="I12" i="7" s="1"/>
  <c r="E13" i="9" s="1"/>
  <c r="E54" i="9" s="1"/>
  <c r="D38" i="14"/>
  <c r="D39" i="14"/>
  <c r="D40" i="14"/>
  <c r="D41" i="14"/>
  <c r="J33" i="14"/>
  <c r="J34" i="14"/>
  <c r="J35" i="14"/>
  <c r="J36" i="14"/>
  <c r="J21" i="14"/>
  <c r="J22" i="14"/>
  <c r="J23" i="14"/>
  <c r="J24" i="14"/>
  <c r="J9" i="14"/>
  <c r="J10" i="14"/>
  <c r="J11" i="14"/>
  <c r="J12" i="14"/>
  <c r="B22" i="4"/>
  <c r="D22" i="4"/>
  <c r="E22" i="4"/>
  <c r="F22" i="4"/>
  <c r="G22" i="4"/>
  <c r="H22" i="4"/>
  <c r="I22" i="4"/>
  <c r="B23" i="4"/>
  <c r="C23" i="4"/>
  <c r="D23" i="4"/>
  <c r="E23" i="4"/>
  <c r="F23" i="4"/>
  <c r="G23" i="4"/>
  <c r="H23" i="4"/>
  <c r="I23" i="4"/>
  <c r="B24" i="4"/>
  <c r="C24" i="4"/>
  <c r="D24" i="4"/>
  <c r="E24" i="4"/>
  <c r="F24" i="4"/>
  <c r="G24" i="4"/>
  <c r="H24" i="4"/>
  <c r="I24" i="4"/>
  <c r="B16" i="4"/>
  <c r="C16" i="4"/>
  <c r="D16" i="4"/>
  <c r="E16" i="4"/>
  <c r="F16" i="4"/>
  <c r="G16" i="4"/>
  <c r="H16" i="4"/>
  <c r="I16" i="4"/>
  <c r="B17" i="4"/>
  <c r="C17" i="4"/>
  <c r="D17" i="4"/>
  <c r="E17" i="4"/>
  <c r="F17" i="4"/>
  <c r="G17" i="4"/>
  <c r="H17" i="4"/>
  <c r="I17" i="4"/>
  <c r="B18" i="4"/>
  <c r="C18" i="4"/>
  <c r="D18" i="4"/>
  <c r="E18" i="4"/>
  <c r="F18" i="4"/>
  <c r="G18" i="4"/>
  <c r="H18" i="4"/>
  <c r="I18" i="4"/>
  <c r="J10" i="4"/>
  <c r="J11" i="4"/>
  <c r="J12" i="4"/>
  <c r="J13" i="4"/>
  <c r="B31" i="9" l="1"/>
  <c r="B52" i="9" s="1"/>
  <c r="G22" i="5"/>
  <c r="G24" i="32"/>
  <c r="G23" i="32"/>
  <c r="G22" i="32"/>
  <c r="G13" i="32"/>
  <c r="G21" i="32"/>
  <c r="I24" i="5"/>
  <c r="B24" i="5"/>
  <c r="L9" i="32"/>
  <c r="I19" i="4"/>
  <c r="I23" i="5"/>
  <c r="H19" i="4"/>
  <c r="G19" i="4"/>
  <c r="E19" i="4"/>
  <c r="B22" i="5"/>
  <c r="D62" i="9"/>
  <c r="B19" i="4"/>
  <c r="I22" i="5"/>
  <c r="D24" i="32"/>
  <c r="D23" i="32"/>
  <c r="D22" i="32"/>
  <c r="F24" i="5"/>
  <c r="F23" i="5"/>
  <c r="E23" i="5"/>
  <c r="F22" i="5"/>
  <c r="E22" i="5"/>
  <c r="E62" i="9"/>
  <c r="H24" i="5"/>
  <c r="H23" i="5"/>
  <c r="H22" i="5"/>
  <c r="E24" i="5"/>
  <c r="D23" i="5"/>
  <c r="D22" i="5"/>
  <c r="D24" i="5"/>
  <c r="C24" i="5"/>
  <c r="C23" i="5"/>
  <c r="C22" i="5"/>
  <c r="G24" i="5"/>
  <c r="G23" i="5"/>
  <c r="J16" i="4"/>
  <c r="J17" i="4"/>
  <c r="J18" i="4"/>
  <c r="J37" i="4" s="1"/>
  <c r="B9" i="7"/>
  <c r="C9" i="7"/>
  <c r="B10" i="9" s="1"/>
  <c r="B10" i="7"/>
  <c r="C10" i="7"/>
  <c r="C10" i="9" s="1"/>
  <c r="B11" i="7"/>
  <c r="D9" i="9" s="1"/>
  <c r="C11" i="7"/>
  <c r="D10" i="9" s="1"/>
  <c r="B12" i="7"/>
  <c r="C12" i="7"/>
  <c r="E10" i="9" s="1"/>
  <c r="C13" i="7"/>
  <c r="F10" i="9" s="1"/>
  <c r="C14" i="7"/>
  <c r="F60" i="9" l="1"/>
  <c r="D11" i="9"/>
  <c r="E60" i="9"/>
  <c r="D60" i="9"/>
  <c r="D12" i="7"/>
  <c r="E12" i="7" s="1"/>
  <c r="E9" i="9"/>
  <c r="G10" i="9"/>
  <c r="G60" i="9" s="1"/>
  <c r="D10" i="7"/>
  <c r="E10" i="7" s="1"/>
  <c r="C9" i="9"/>
  <c r="D59" i="9" s="1"/>
  <c r="D9" i="7"/>
  <c r="E9" i="7" s="1"/>
  <c r="B9" i="9"/>
  <c r="B11" i="9" s="1"/>
  <c r="D11" i="7"/>
  <c r="E11" i="7" s="1"/>
  <c r="H12" i="7"/>
  <c r="J12" i="7" s="1"/>
  <c r="K12" i="7" s="1"/>
  <c r="K14" i="7" s="1"/>
  <c r="I14" i="7" s="1"/>
  <c r="H11" i="7"/>
  <c r="J11" i="7" s="1"/>
  <c r="K11" i="7" s="1"/>
  <c r="H10" i="7"/>
  <c r="J10" i="7" s="1"/>
  <c r="K10" i="7" s="1"/>
  <c r="H9" i="7"/>
  <c r="J9" i="7" s="1"/>
  <c r="K9" i="7" s="1"/>
  <c r="E11" i="9" l="1"/>
  <c r="E59" i="9"/>
  <c r="C11" i="9"/>
  <c r="C59" i="9"/>
  <c r="D19" i="4"/>
  <c r="K15" i="31" l="1"/>
  <c r="J15" i="4" l="1"/>
  <c r="C19" i="4" l="1"/>
  <c r="D34" i="32" l="1"/>
  <c r="L34" i="32" s="1"/>
  <c r="L33" i="32"/>
  <c r="H14" i="7" l="1"/>
  <c r="L8" i="31" l="1"/>
  <c r="L9" i="31"/>
  <c r="L10" i="31"/>
  <c r="L11" i="31"/>
  <c r="L12" i="31"/>
  <c r="L13" i="31"/>
  <c r="L14" i="31"/>
  <c r="L15" i="31"/>
  <c r="L16" i="31"/>
  <c r="I17" i="31" l="1"/>
  <c r="L17" i="31" s="1"/>
  <c r="E35" i="20" l="1"/>
  <c r="E36" i="20"/>
  <c r="E37" i="20"/>
  <c r="E38" i="20"/>
  <c r="E39" i="20"/>
  <c r="E40" i="20"/>
  <c r="E41" i="20"/>
  <c r="E42" i="20"/>
  <c r="E34" i="20"/>
  <c r="L14" i="8" l="1"/>
  <c r="D14" i="8"/>
  <c r="D13" i="32"/>
  <c r="L13" i="32" l="1"/>
  <c r="D25" i="32"/>
  <c r="E25" i="32"/>
  <c r="F25" i="32"/>
  <c r="C25" i="32"/>
  <c r="B25" i="32"/>
  <c r="C19" i="32"/>
  <c r="B19" i="32"/>
  <c r="A3" i="32"/>
  <c r="A2" i="32"/>
  <c r="A1" i="32"/>
  <c r="C13" i="32"/>
  <c r="B13" i="32"/>
  <c r="F14" i="29"/>
  <c r="E57" i="29"/>
  <c r="E58" i="29"/>
  <c r="E59" i="29"/>
  <c r="E60" i="29"/>
  <c r="E61" i="29"/>
  <c r="E62" i="29"/>
  <c r="E63" i="29"/>
  <c r="E64" i="29"/>
  <c r="E46" i="29"/>
  <c r="E47" i="29"/>
  <c r="E48" i="29"/>
  <c r="E49" i="29"/>
  <c r="F49" i="29" s="1"/>
  <c r="E50" i="29"/>
  <c r="E51" i="29"/>
  <c r="E52" i="29"/>
  <c r="E53" i="29"/>
  <c r="E56" i="29"/>
  <c r="E45" i="29"/>
  <c r="L19" i="32" l="1"/>
  <c r="G19" i="32"/>
  <c r="G25" i="32"/>
  <c r="E54" i="29"/>
  <c r="L55" i="25" l="1"/>
  <c r="L56" i="25"/>
  <c r="L57" i="25"/>
  <c r="L58" i="25"/>
  <c r="L59" i="25"/>
  <c r="L60" i="25"/>
  <c r="L61" i="25"/>
  <c r="L62" i="25"/>
  <c r="L44" i="25"/>
  <c r="L45" i="25"/>
  <c r="L46" i="25"/>
  <c r="L47" i="25"/>
  <c r="L48" i="25"/>
  <c r="L49" i="25"/>
  <c r="L50" i="25"/>
  <c r="L51" i="25"/>
  <c r="J43" i="25"/>
  <c r="J51" i="25" s="1"/>
  <c r="J14" i="25"/>
  <c r="J25" i="25" s="1"/>
  <c r="E14" i="25"/>
  <c r="E25" i="25" s="1"/>
  <c r="E43" i="25"/>
  <c r="E54" i="25" s="1"/>
  <c r="G55" i="25"/>
  <c r="G56" i="25"/>
  <c r="G57" i="25"/>
  <c r="G58" i="25"/>
  <c r="G59" i="25"/>
  <c r="G60" i="25"/>
  <c r="G61" i="25"/>
  <c r="G62" i="25"/>
  <c r="E55" i="25" l="1"/>
  <c r="E62" i="25"/>
  <c r="E44" i="25"/>
  <c r="E51" i="25"/>
  <c r="J44" i="25"/>
  <c r="L24" i="25"/>
  <c r="G24" i="25"/>
  <c r="A26" i="19" l="1"/>
  <c r="A27" i="19"/>
  <c r="A28" i="19" s="1"/>
  <c r="A29" i="19" s="1"/>
  <c r="A31" i="19" s="1"/>
  <c r="A32" i="19" s="1"/>
  <c r="A33" i="19" s="1"/>
  <c r="A34" i="19" s="1"/>
  <c r="A35" i="19" s="1"/>
  <c r="C28" i="19"/>
  <c r="F28" i="19"/>
  <c r="A11" i="19"/>
  <c r="A12" i="19" s="1"/>
  <c r="A13" i="19" s="1"/>
  <c r="A14" i="19" s="1"/>
  <c r="A16" i="19" s="1"/>
  <c r="A17" i="19" s="1"/>
  <c r="A18" i="19" s="1"/>
  <c r="A19" i="19" s="1"/>
  <c r="A20" i="19" s="1"/>
  <c r="F19" i="4" l="1"/>
  <c r="M9" i="31"/>
  <c r="M10" i="31"/>
  <c r="M11" i="31"/>
  <c r="M12" i="31"/>
  <c r="M13" i="31"/>
  <c r="M14" i="31"/>
  <c r="M15" i="31"/>
  <c r="M16" i="31"/>
  <c r="M17" i="31"/>
  <c r="M8" i="31"/>
  <c r="J17" i="14" l="1"/>
  <c r="G44" i="25"/>
  <c r="G45" i="25"/>
  <c r="G46" i="25"/>
  <c r="G47" i="25"/>
  <c r="G48" i="25"/>
  <c r="G49" i="25"/>
  <c r="G50" i="25"/>
  <c r="G51" i="25"/>
  <c r="L33" i="25"/>
  <c r="L32" i="25"/>
  <c r="G33" i="25"/>
  <c r="G32" i="25"/>
  <c r="A76" i="20"/>
  <c r="A77" i="20" s="1"/>
  <c r="A78" i="20" s="1"/>
  <c r="A79" i="20" s="1"/>
  <c r="A80" i="20" s="1"/>
  <c r="A81" i="20" s="1"/>
  <c r="A82" i="20" s="1"/>
  <c r="A83" i="20" s="1"/>
  <c r="L25" i="25"/>
  <c r="L26" i="25"/>
  <c r="L27" i="25"/>
  <c r="L28" i="25"/>
  <c r="L29" i="25"/>
  <c r="L22" i="25"/>
  <c r="L23" i="25"/>
  <c r="L21" i="25"/>
  <c r="G22" i="25"/>
  <c r="G23" i="25"/>
  <c r="G25" i="25"/>
  <c r="G26" i="25"/>
  <c r="G27" i="25"/>
  <c r="G28" i="25"/>
  <c r="G29" i="25"/>
  <c r="G21" i="25"/>
  <c r="A64" i="20"/>
  <c r="A65" i="20" s="1"/>
  <c r="A66" i="20" s="1"/>
  <c r="A67" i="20" s="1"/>
  <c r="A68" i="20" s="1"/>
  <c r="A69" i="20" s="1"/>
  <c r="A70" i="20" s="1"/>
  <c r="A71" i="20" s="1"/>
  <c r="J12" i="25"/>
  <c r="J23" i="25" s="1"/>
  <c r="J13" i="25"/>
  <c r="J24" i="25" s="1"/>
  <c r="J15" i="25"/>
  <c r="J26" i="25" s="1"/>
  <c r="E15" i="25"/>
  <c r="E26" i="25" s="1"/>
  <c r="E11" i="25"/>
  <c r="E22" i="25" s="1"/>
  <c r="E12" i="25"/>
  <c r="E23" i="25" s="1"/>
  <c r="E13" i="25"/>
  <c r="E24" i="25" s="1"/>
  <c r="A3" i="29"/>
  <c r="A2" i="29"/>
  <c r="A1" i="29"/>
  <c r="A3" i="25"/>
  <c r="A2" i="25"/>
  <c r="A1" i="25"/>
  <c r="A3" i="20"/>
  <c r="A2" i="20"/>
  <c r="A1" i="20"/>
  <c r="F25" i="8"/>
  <c r="G25" i="8"/>
  <c r="H25" i="8"/>
  <c r="F26" i="8"/>
  <c r="G26" i="8"/>
  <c r="H26" i="8"/>
  <c r="E23" i="8" l="1"/>
  <c r="J16" i="14"/>
  <c r="F22" i="8" l="1"/>
  <c r="G22" i="8" s="1"/>
  <c r="G28" i="8" l="1"/>
  <c r="G27" i="32" s="1"/>
  <c r="G30" i="32" s="1"/>
  <c r="G36" i="32" s="1"/>
  <c r="F31" i="9"/>
  <c r="I20" i="8"/>
  <c r="F23" i="8"/>
  <c r="F28" i="8"/>
  <c r="J20" i="8" l="1"/>
  <c r="H20" i="8"/>
  <c r="D20" i="8"/>
  <c r="G23" i="8"/>
  <c r="G29" i="8" s="1"/>
  <c r="E14" i="19"/>
  <c r="E29" i="19" s="1"/>
  <c r="D47" i="25" s="1"/>
  <c r="F47" i="25" s="1"/>
  <c r="H47" i="25" s="1"/>
  <c r="F27" i="32"/>
  <c r="F29" i="8"/>
  <c r="G28" i="32" l="1"/>
  <c r="G31" i="32" s="1"/>
  <c r="G37" i="32" s="1"/>
  <c r="G31" i="9"/>
  <c r="H25" i="5"/>
  <c r="H27" i="5" s="1"/>
  <c r="I25" i="5"/>
  <c r="I27" i="5" s="1"/>
  <c r="B25" i="5"/>
  <c r="B27" i="5" s="1"/>
  <c r="C25" i="5"/>
  <c r="C27" i="5" s="1"/>
  <c r="D25" i="5"/>
  <c r="D27" i="5" s="1"/>
  <c r="E25" i="5"/>
  <c r="E27" i="5" s="1"/>
  <c r="F25" i="5"/>
  <c r="F27" i="5" s="1"/>
  <c r="G25" i="5"/>
  <c r="G27" i="5" s="1"/>
  <c r="B25" i="4"/>
  <c r="B27" i="4" s="1"/>
  <c r="I25" i="4"/>
  <c r="I27" i="4" s="1"/>
  <c r="I37" i="4" s="1"/>
  <c r="H25" i="4"/>
  <c r="H27" i="4" s="1"/>
  <c r="H37" i="4" s="1"/>
  <c r="G25" i="4"/>
  <c r="G27" i="4" s="1"/>
  <c r="G37" i="4" s="1"/>
  <c r="F25" i="4"/>
  <c r="F27" i="4" s="1"/>
  <c r="F37" i="4" s="1"/>
  <c r="E25" i="4"/>
  <c r="E27" i="4" s="1"/>
  <c r="E37" i="4" s="1"/>
  <c r="D25" i="4"/>
  <c r="D27" i="4" s="1"/>
  <c r="D37" i="4" s="1"/>
  <c r="C80" i="9"/>
  <c r="D24" i="29"/>
  <c r="F24" i="29" s="1"/>
  <c r="D58" i="25"/>
  <c r="F58" i="25" s="1"/>
  <c r="H58" i="25" s="1"/>
  <c r="H14" i="19"/>
  <c r="H29" i="19" s="1"/>
  <c r="F28" i="32"/>
  <c r="F31" i="32" s="1"/>
  <c r="D35" i="29"/>
  <c r="F35" i="29" s="1"/>
  <c r="F30" i="32"/>
  <c r="F36" i="32" s="1"/>
  <c r="A3" i="19"/>
  <c r="A2" i="19"/>
  <c r="A1" i="19"/>
  <c r="A3" i="9"/>
  <c r="A2" i="9"/>
  <c r="A1" i="9"/>
  <c r="A3" i="14"/>
  <c r="A2" i="14"/>
  <c r="A1" i="14"/>
  <c r="A3" i="8"/>
  <c r="A2" i="8"/>
  <c r="A1" i="8"/>
  <c r="A3" i="5"/>
  <c r="A2" i="5"/>
  <c r="A1" i="5"/>
  <c r="A3" i="31"/>
  <c r="A2" i="31"/>
  <c r="A1" i="31"/>
  <c r="C12" i="19" l="1"/>
  <c r="D12" i="29" s="1"/>
  <c r="F12" i="29" s="1"/>
  <c r="D28" i="4"/>
  <c r="F12" i="19" s="1"/>
  <c r="D47" i="29" s="1"/>
  <c r="F47" i="29" s="1"/>
  <c r="B37" i="4"/>
  <c r="I47" i="25"/>
  <c r="K47" i="25" s="1"/>
  <c r="M47" i="25" s="1"/>
  <c r="G12" i="34"/>
  <c r="D25" i="14"/>
  <c r="D28" i="14" s="1"/>
  <c r="D70" i="29"/>
  <c r="F70" i="29" s="1"/>
  <c r="F37" i="32"/>
  <c r="H12" i="34" s="1"/>
  <c r="A3" i="4"/>
  <c r="A2" i="4"/>
  <c r="A1" i="4"/>
  <c r="A3" i="7"/>
  <c r="A2" i="7"/>
  <c r="A1" i="7"/>
  <c r="I58" i="25" l="1"/>
  <c r="K58" i="25" s="1"/>
  <c r="M58" i="25" s="1"/>
  <c r="D59" i="29"/>
  <c r="F59" i="29" s="1"/>
  <c r="D27" i="20"/>
  <c r="A10" i="29" l="1"/>
  <c r="A11" i="29" s="1"/>
  <c r="A12" i="29" s="1"/>
  <c r="A13" i="29" s="1"/>
  <c r="A14" i="29" s="1"/>
  <c r="A15" i="29" s="1"/>
  <c r="A16" i="29" s="1"/>
  <c r="A17" i="29" s="1"/>
  <c r="A18" i="29" s="1"/>
  <c r="A19" i="29" l="1"/>
  <c r="A20" i="29" s="1"/>
  <c r="A21" i="29" s="1"/>
  <c r="A22" i="29" s="1"/>
  <c r="A23" i="29" s="1"/>
  <c r="A24" i="29" s="1"/>
  <c r="A25" i="29" s="1"/>
  <c r="A26" i="29" s="1"/>
  <c r="A27" i="29" s="1"/>
  <c r="A28" i="29" s="1"/>
  <c r="A29" i="29" s="1"/>
  <c r="A45" i="29"/>
  <c r="A46" i="29" s="1"/>
  <c r="A47" i="29" s="1"/>
  <c r="A48" i="29" s="1"/>
  <c r="A49" i="29" s="1"/>
  <c r="A50" i="29" s="1"/>
  <c r="A51" i="29" s="1"/>
  <c r="A52" i="29" s="1"/>
  <c r="A53" i="29" s="1"/>
  <c r="A54" i="29" l="1"/>
  <c r="A55" i="29" s="1"/>
  <c r="A56" i="29" s="1"/>
  <c r="A57" i="29" s="1"/>
  <c r="A58" i="29" s="1"/>
  <c r="A59" i="29" s="1"/>
  <c r="A60" i="29" s="1"/>
  <c r="A61" i="29" s="1"/>
  <c r="A62" i="29" s="1"/>
  <c r="A63" i="29" s="1"/>
  <c r="A64" i="29" s="1"/>
  <c r="A30" i="29"/>
  <c r="A31" i="29" s="1"/>
  <c r="A32" i="29" s="1"/>
  <c r="A33" i="29" s="1"/>
  <c r="A34" i="29" s="1"/>
  <c r="A35" i="29" s="1"/>
  <c r="A36" i="29" s="1"/>
  <c r="A37" i="29" s="1"/>
  <c r="A38" i="29" s="1"/>
  <c r="A39" i="29" s="1"/>
  <c r="A40" i="29" s="1"/>
  <c r="A41" i="29" s="1"/>
  <c r="A42" i="29" s="1"/>
  <c r="A65" i="29" l="1"/>
  <c r="A66" i="29" s="1"/>
  <c r="A67" i="29" s="1"/>
  <c r="A68" i="29" s="1"/>
  <c r="A69" i="29" s="1"/>
  <c r="A70" i="29" s="1"/>
  <c r="A71" i="29" s="1"/>
  <c r="A72" i="29" s="1"/>
  <c r="A73" i="29" s="1"/>
  <c r="A74" i="29" s="1"/>
  <c r="A75" i="29" s="1"/>
  <c r="A76" i="29" s="1"/>
  <c r="A77" i="29" s="1"/>
  <c r="B26" i="8"/>
  <c r="C26" i="8"/>
  <c r="E26" i="8"/>
  <c r="E29" i="8" s="1"/>
  <c r="I26" i="8"/>
  <c r="J26" i="8"/>
  <c r="K26" i="8"/>
  <c r="C25" i="8"/>
  <c r="E25" i="8"/>
  <c r="E28" i="8" s="1"/>
  <c r="I25" i="8"/>
  <c r="J25" i="8"/>
  <c r="K25" i="8"/>
  <c r="B25" i="8"/>
  <c r="A52" i="20"/>
  <c r="A53" i="20" s="1"/>
  <c r="A54" i="20" s="1"/>
  <c r="A55" i="20" s="1"/>
  <c r="A56" i="20" s="1"/>
  <c r="A57" i="20" s="1"/>
  <c r="A58" i="20" s="1"/>
  <c r="A59" i="20" s="1"/>
  <c r="A10" i="25"/>
  <c r="A11" i="25" s="1"/>
  <c r="A12" i="25" s="1"/>
  <c r="A13" i="25" s="1"/>
  <c r="G54" i="25"/>
  <c r="G43" i="25"/>
  <c r="J62" i="25"/>
  <c r="L54" i="25"/>
  <c r="L43" i="25"/>
  <c r="E43" i="20"/>
  <c r="D43" i="20"/>
  <c r="A35" i="20"/>
  <c r="A36" i="20" s="1"/>
  <c r="A37" i="20" s="1"/>
  <c r="A38" i="20" s="1"/>
  <c r="A39" i="20" s="1"/>
  <c r="A40" i="20" s="1"/>
  <c r="A41" i="20" s="1"/>
  <c r="A42" i="20" s="1"/>
  <c r="C43" i="20"/>
  <c r="D30" i="20"/>
  <c r="D45" i="20" s="1"/>
  <c r="C30" i="20"/>
  <c r="C45" i="20" s="1"/>
  <c r="A26" i="20"/>
  <c r="A27" i="20" s="1"/>
  <c r="A28" i="20" s="1"/>
  <c r="A29" i="20" s="1"/>
  <c r="A30" i="20" s="1"/>
  <c r="G44" i="11"/>
  <c r="D69" i="11"/>
  <c r="D70" i="11"/>
  <c r="D68" i="11"/>
  <c r="D49" i="11"/>
  <c r="D48" i="11"/>
  <c r="D47" i="11"/>
  <c r="D46" i="11"/>
  <c r="C69" i="11"/>
  <c r="C70" i="11"/>
  <c r="C68" i="11"/>
  <c r="E41" i="11"/>
  <c r="E40" i="11"/>
  <c r="E39" i="11"/>
  <c r="E38" i="11"/>
  <c r="E37" i="11"/>
  <c r="E36" i="11"/>
  <c r="E35" i="11"/>
  <c r="E34" i="11"/>
  <c r="E33" i="11"/>
  <c r="E70" i="11" s="1"/>
  <c r="E32" i="11"/>
  <c r="E31" i="11"/>
  <c r="E30" i="11"/>
  <c r="E29" i="11"/>
  <c r="E28" i="11"/>
  <c r="E27" i="11"/>
  <c r="E26" i="11"/>
  <c r="E25" i="11"/>
  <c r="E24" i="11"/>
  <c r="E23" i="11"/>
  <c r="E22" i="11"/>
  <c r="E21" i="11"/>
  <c r="E20" i="11"/>
  <c r="E19" i="11"/>
  <c r="E18" i="11"/>
  <c r="E17" i="11"/>
  <c r="E68" i="11" s="1"/>
  <c r="E16" i="11"/>
  <c r="E15" i="11"/>
  <c r="E14" i="11"/>
  <c r="E13" i="11"/>
  <c r="E12" i="11"/>
  <c r="E69" i="11" l="1"/>
  <c r="E28" i="32"/>
  <c r="E31" i="32" s="1"/>
  <c r="E37" i="32" s="1"/>
  <c r="D60" i="29"/>
  <c r="F60" i="29" s="1"/>
  <c r="E27" i="32"/>
  <c r="E30" i="32" s="1"/>
  <c r="D25" i="29"/>
  <c r="F25" i="29" s="1"/>
  <c r="C44" i="20"/>
  <c r="C46" i="20" s="1"/>
  <c r="H30" i="19"/>
  <c r="H15" i="19"/>
  <c r="E30" i="19"/>
  <c r="E15" i="19"/>
  <c r="A43" i="20"/>
  <c r="A44" i="20" s="1"/>
  <c r="A45" i="20" s="1"/>
  <c r="A46" i="20" s="1"/>
  <c r="A14" i="25"/>
  <c r="A15" i="25" s="1"/>
  <c r="A16" i="25" s="1"/>
  <c r="A17" i="25" s="1"/>
  <c r="A18" i="25" s="1"/>
  <c r="A19" i="25" s="1"/>
  <c r="A20" i="25" s="1"/>
  <c r="A21" i="25" s="1"/>
  <c r="A22" i="25" s="1"/>
  <c r="A23" i="25" s="1"/>
  <c r="A24" i="25" s="1"/>
  <c r="D44" i="20"/>
  <c r="D77" i="11"/>
  <c r="T14" i="4"/>
  <c r="J11" i="25"/>
  <c r="J10" i="25"/>
  <c r="D75" i="11"/>
  <c r="D76" i="11"/>
  <c r="D42" i="14"/>
  <c r="E18" i="25"/>
  <c r="E29" i="25" s="1"/>
  <c r="E10" i="25"/>
  <c r="E21" i="25" s="1"/>
  <c r="J16" i="25"/>
  <c r="J27" i="25" s="1"/>
  <c r="J17" i="25"/>
  <c r="J28" i="25" s="1"/>
  <c r="E16" i="25"/>
  <c r="E27" i="25" s="1"/>
  <c r="J18" i="25"/>
  <c r="J29" i="25" s="1"/>
  <c r="E17" i="25"/>
  <c r="E28" i="25" s="1"/>
  <c r="E44" i="20" l="1"/>
  <c r="G13" i="34"/>
  <c r="H43" i="19"/>
  <c r="J55" i="25"/>
  <c r="J22" i="25"/>
  <c r="J54" i="25"/>
  <c r="J21" i="25"/>
  <c r="D36" i="29"/>
  <c r="F36" i="29" s="1"/>
  <c r="E36" i="32"/>
  <c r="D71" i="29"/>
  <c r="F71" i="29" s="1"/>
  <c r="H13" i="34"/>
  <c r="D46" i="20"/>
  <c r="E46" i="20" s="1"/>
  <c r="L10" i="25" s="1"/>
  <c r="L11" i="25" s="1"/>
  <c r="L12" i="25" s="1"/>
  <c r="L13" i="25" s="1"/>
  <c r="L14" i="25" s="1"/>
  <c r="L15" i="25" s="1"/>
  <c r="A25" i="25"/>
  <c r="A26" i="25" s="1"/>
  <c r="A27" i="25" s="1"/>
  <c r="A28" i="25" s="1"/>
  <c r="A29" i="25" s="1"/>
  <c r="A30" i="25" s="1"/>
  <c r="A31" i="25" s="1"/>
  <c r="A32" i="25" s="1"/>
  <c r="A33" i="25" s="1"/>
  <c r="A34" i="25" s="1"/>
  <c r="A35" i="25" s="1"/>
  <c r="A36" i="25" s="1"/>
  <c r="A37" i="25" s="1"/>
  <c r="A38" i="25" s="1"/>
  <c r="A39" i="25" s="1"/>
  <c r="A40" i="25" s="1"/>
  <c r="A41" i="25" s="1"/>
  <c r="C25" i="4" l="1"/>
  <c r="C27" i="4" s="1"/>
  <c r="C60" i="9"/>
  <c r="G10" i="25"/>
  <c r="G11" i="25" s="1"/>
  <c r="G12" i="25" s="1"/>
  <c r="G13" i="25" s="1"/>
  <c r="G14" i="25" s="1"/>
  <c r="G15" i="25" s="1"/>
  <c r="L16" i="25"/>
  <c r="L17" i="25" s="1"/>
  <c r="A42" i="25"/>
  <c r="A43" i="25" s="1"/>
  <c r="A44" i="25" s="1"/>
  <c r="A45" i="25" s="1"/>
  <c r="F28" i="5"/>
  <c r="F33" i="4"/>
  <c r="G28" i="4"/>
  <c r="H28" i="4"/>
  <c r="C37" i="4" l="1"/>
  <c r="J27" i="4"/>
  <c r="F41" i="4"/>
  <c r="F33" i="9"/>
  <c r="E78" i="9"/>
  <c r="C16" i="19"/>
  <c r="D15" i="29" s="1"/>
  <c r="F15" i="29" s="1"/>
  <c r="C28" i="4"/>
  <c r="G16" i="25"/>
  <c r="A46" i="25"/>
  <c r="A47" i="25" s="1"/>
  <c r="A48" i="25" s="1"/>
  <c r="A49" i="25" s="1"/>
  <c r="A50" i="25" s="1"/>
  <c r="A51" i="25" s="1"/>
  <c r="A52" i="25" s="1"/>
  <c r="A53" i="25" s="1"/>
  <c r="A54" i="25" s="1"/>
  <c r="A55" i="25" s="1"/>
  <c r="A56" i="25" s="1"/>
  <c r="L18" i="25"/>
  <c r="H34" i="4"/>
  <c r="G41" i="9" s="1"/>
  <c r="H38" i="4"/>
  <c r="D34" i="4"/>
  <c r="G25" i="9" s="1"/>
  <c r="D38" i="4"/>
  <c r="G34" i="4"/>
  <c r="G37" i="9" s="1"/>
  <c r="G38" i="4"/>
  <c r="E30" i="5"/>
  <c r="H33" i="4"/>
  <c r="B28" i="5"/>
  <c r="G28" i="5"/>
  <c r="G31" i="5" s="1"/>
  <c r="G35" i="5" s="1"/>
  <c r="F28" i="4"/>
  <c r="F30" i="5"/>
  <c r="F34" i="5" s="1"/>
  <c r="H28" i="5"/>
  <c r="H31" i="5" s="1"/>
  <c r="D33" i="4"/>
  <c r="G33" i="4"/>
  <c r="I28" i="5"/>
  <c r="C33" i="4"/>
  <c r="I28" i="4"/>
  <c r="I33" i="4"/>
  <c r="B33" i="4"/>
  <c r="B28" i="4"/>
  <c r="E28" i="4"/>
  <c r="E33" i="4"/>
  <c r="J28" i="4" l="1"/>
  <c r="H41" i="4"/>
  <c r="F41" i="9"/>
  <c r="C34" i="4"/>
  <c r="G21" i="9" s="1"/>
  <c r="F11" i="19"/>
  <c r="E41" i="4"/>
  <c r="F29" i="9"/>
  <c r="F78" i="9" s="1"/>
  <c r="G41" i="4"/>
  <c r="F37" i="9"/>
  <c r="C41" i="4"/>
  <c r="F21" i="9"/>
  <c r="D41" i="4"/>
  <c r="F25" i="9"/>
  <c r="B41" i="4"/>
  <c r="F17" i="9"/>
  <c r="I41" i="4"/>
  <c r="F45" i="9"/>
  <c r="D78" i="9"/>
  <c r="C31" i="19"/>
  <c r="D42" i="4"/>
  <c r="C14" i="19"/>
  <c r="D13" i="29" s="1"/>
  <c r="F13" i="29" s="1"/>
  <c r="C10" i="19"/>
  <c r="D10" i="29" s="1"/>
  <c r="F10" i="29" s="1"/>
  <c r="C18" i="19"/>
  <c r="D17" i="29" s="1"/>
  <c r="F17" i="29" s="1"/>
  <c r="C19" i="19"/>
  <c r="C34" i="19" s="1"/>
  <c r="C17" i="19"/>
  <c r="D16" i="29" s="1"/>
  <c r="F16" i="29" s="1"/>
  <c r="C27" i="19"/>
  <c r="F17" i="19"/>
  <c r="F32" i="19" s="1"/>
  <c r="G42" i="4"/>
  <c r="F18" i="19"/>
  <c r="F33" i="19" s="1"/>
  <c r="H42" i="4"/>
  <c r="C11" i="19"/>
  <c r="C38" i="4"/>
  <c r="F27" i="19"/>
  <c r="G17" i="25"/>
  <c r="A57" i="25"/>
  <c r="A58" i="25" s="1"/>
  <c r="A59" i="25" s="1"/>
  <c r="A60" i="25" s="1"/>
  <c r="A61" i="25" s="1"/>
  <c r="A62" i="25" s="1"/>
  <c r="A63" i="25" s="1"/>
  <c r="A64" i="25" s="1"/>
  <c r="I34" i="4"/>
  <c r="G45" i="9" s="1"/>
  <c r="G50" i="9" s="1"/>
  <c r="I38" i="4"/>
  <c r="E38" i="4"/>
  <c r="F34" i="4"/>
  <c r="G33" i="9" s="1"/>
  <c r="F38" i="4"/>
  <c r="B34" i="4"/>
  <c r="G17" i="9" s="1"/>
  <c r="B38" i="4"/>
  <c r="D55" i="11"/>
  <c r="D50" i="11"/>
  <c r="D51" i="11"/>
  <c r="E28" i="5"/>
  <c r="E31" i="5" s="1"/>
  <c r="C51" i="11"/>
  <c r="D59" i="11"/>
  <c r="C48" i="11"/>
  <c r="E48" i="11" s="1"/>
  <c r="C42" i="11"/>
  <c r="E42" i="11" s="1"/>
  <c r="C71" i="11"/>
  <c r="C72" i="11" s="1"/>
  <c r="C46" i="11"/>
  <c r="E46" i="11" s="1"/>
  <c r="D54" i="11"/>
  <c r="B78" i="11"/>
  <c r="B79" i="11" s="1"/>
  <c r="C79" i="11" s="1"/>
  <c r="D60" i="11"/>
  <c r="C49" i="11"/>
  <c r="E49" i="11" s="1"/>
  <c r="D57" i="11"/>
  <c r="C44" i="11"/>
  <c r="E44" i="11" s="1"/>
  <c r="D52" i="11"/>
  <c r="C43" i="11"/>
  <c r="E43" i="11" s="1"/>
  <c r="C53" i="11"/>
  <c r="D56" i="11"/>
  <c r="D53" i="11"/>
  <c r="D30" i="5"/>
  <c r="C52" i="11"/>
  <c r="D58" i="11"/>
  <c r="C47" i="11"/>
  <c r="E47" i="11" s="1"/>
  <c r="C45" i="11"/>
  <c r="E45" i="11" s="1"/>
  <c r="C50" i="11"/>
  <c r="H30" i="5"/>
  <c r="H34" i="5" s="1"/>
  <c r="B30" i="5"/>
  <c r="B34" i="5" s="1"/>
  <c r="F31" i="5"/>
  <c r="F35" i="5" s="1"/>
  <c r="G30" i="5"/>
  <c r="G34" i="5" s="1"/>
  <c r="I31" i="5"/>
  <c r="I35" i="5" s="1"/>
  <c r="I30" i="5"/>
  <c r="I34" i="5" s="1"/>
  <c r="B31" i="5"/>
  <c r="J33" i="4"/>
  <c r="J41" i="4" s="1"/>
  <c r="E34" i="4"/>
  <c r="G29" i="9" s="1"/>
  <c r="C28" i="5"/>
  <c r="C31" i="5" s="1"/>
  <c r="C30" i="5"/>
  <c r="H35" i="5"/>
  <c r="E34" i="5"/>
  <c r="E15" i="34" l="1"/>
  <c r="F45" i="19"/>
  <c r="E10" i="34"/>
  <c r="F42" i="19"/>
  <c r="C5" i="35"/>
  <c r="E16" i="34"/>
  <c r="F46" i="19"/>
  <c r="C42" i="4"/>
  <c r="F50" i="9"/>
  <c r="F86" i="9"/>
  <c r="F70" i="9"/>
  <c r="G70" i="9"/>
  <c r="C94" i="9"/>
  <c r="C70" i="9"/>
  <c r="G86" i="9"/>
  <c r="C78" i="9"/>
  <c r="C86" i="9"/>
  <c r="D70" i="9"/>
  <c r="D86" i="9"/>
  <c r="E70" i="9"/>
  <c r="E86" i="9"/>
  <c r="B42" i="4"/>
  <c r="D49" i="9"/>
  <c r="C90" i="9"/>
  <c r="E90" i="9"/>
  <c r="F90" i="9"/>
  <c r="D90" i="9"/>
  <c r="G90" i="9"/>
  <c r="J38" i="4"/>
  <c r="G78" i="9"/>
  <c r="C74" i="9"/>
  <c r="D74" i="9"/>
  <c r="E74" i="9"/>
  <c r="F74" i="9"/>
  <c r="F49" i="9"/>
  <c r="G74" i="9"/>
  <c r="C29" i="19"/>
  <c r="C33" i="19"/>
  <c r="D51" i="29"/>
  <c r="F51" i="29" s="1"/>
  <c r="D52" i="29"/>
  <c r="F52" i="29" s="1"/>
  <c r="D18" i="29"/>
  <c r="F18" i="29" s="1"/>
  <c r="C20" i="19"/>
  <c r="C25" i="19"/>
  <c r="C26" i="19"/>
  <c r="C32" i="19"/>
  <c r="D11" i="29"/>
  <c r="F11" i="29" s="1"/>
  <c r="F14" i="19"/>
  <c r="D48" i="29" s="1"/>
  <c r="F48" i="29" s="1"/>
  <c r="E42" i="4"/>
  <c r="F16" i="19"/>
  <c r="F31" i="19" s="1"/>
  <c r="F42" i="4"/>
  <c r="F19" i="19"/>
  <c r="D53" i="29" s="1"/>
  <c r="F53" i="29" s="1"/>
  <c r="I42" i="4"/>
  <c r="F26" i="19"/>
  <c r="D46" i="29"/>
  <c r="F46" i="29" s="1"/>
  <c r="I33" i="25"/>
  <c r="K33" i="25" s="1"/>
  <c r="M33" i="25" s="1"/>
  <c r="D28" i="19"/>
  <c r="F24" i="25"/>
  <c r="H24" i="25" s="1"/>
  <c r="F10" i="19"/>
  <c r="D45" i="29" s="1"/>
  <c r="F45" i="29" s="1"/>
  <c r="D45" i="5"/>
  <c r="J45" i="5" s="1"/>
  <c r="G18" i="25"/>
  <c r="D33" i="25"/>
  <c r="F33" i="25" s="1"/>
  <c r="H33" i="25" s="1"/>
  <c r="E51" i="11"/>
  <c r="C78" i="11"/>
  <c r="D28" i="5"/>
  <c r="D31" i="5" s="1"/>
  <c r="J31" i="5" s="1"/>
  <c r="E52" i="11"/>
  <c r="D29" i="14"/>
  <c r="D65" i="11"/>
  <c r="E53" i="11"/>
  <c r="D61" i="11"/>
  <c r="D64" i="11"/>
  <c r="C59" i="11"/>
  <c r="E59" i="11" s="1"/>
  <c r="D45" i="14"/>
  <c r="E28" i="19" s="1"/>
  <c r="D46" i="25" s="1"/>
  <c r="D57" i="25" s="1"/>
  <c r="F57" i="25" s="1"/>
  <c r="H57" i="25" s="1"/>
  <c r="C58" i="11"/>
  <c r="E58" i="11" s="1"/>
  <c r="J28" i="14"/>
  <c r="C63" i="11"/>
  <c r="C55" i="11"/>
  <c r="E55" i="11" s="1"/>
  <c r="C60" i="11"/>
  <c r="E60" i="11" s="1"/>
  <c r="C54" i="11"/>
  <c r="E54" i="11" s="1"/>
  <c r="C56" i="11"/>
  <c r="E56" i="11" s="1"/>
  <c r="D63" i="11"/>
  <c r="D62" i="11"/>
  <c r="E50" i="11"/>
  <c r="C64" i="11"/>
  <c r="C65" i="11"/>
  <c r="C62" i="11"/>
  <c r="C61" i="11"/>
  <c r="C57" i="11"/>
  <c r="E57" i="11" s="1"/>
  <c r="D32" i="25"/>
  <c r="F32" i="25" s="1"/>
  <c r="H32" i="25" s="1"/>
  <c r="D34" i="5"/>
  <c r="J34" i="4"/>
  <c r="J42" i="4" s="1"/>
  <c r="E35" i="5"/>
  <c r="J30" i="5"/>
  <c r="E9" i="34" l="1"/>
  <c r="F41" i="19"/>
  <c r="E14" i="34"/>
  <c r="F44" i="19"/>
  <c r="E66" i="9"/>
  <c r="G82" i="9"/>
  <c r="D82" i="9"/>
  <c r="F94" i="9"/>
  <c r="C82" i="9"/>
  <c r="E82" i="9"/>
  <c r="D94" i="9"/>
  <c r="F82" i="9"/>
  <c r="E94" i="9"/>
  <c r="C49" i="9"/>
  <c r="G94" i="9"/>
  <c r="C66" i="9"/>
  <c r="F66" i="9"/>
  <c r="E49" i="9"/>
  <c r="G66" i="9"/>
  <c r="D66" i="9"/>
  <c r="G49" i="9"/>
  <c r="F19" i="29"/>
  <c r="F34" i="19"/>
  <c r="F29" i="19"/>
  <c r="C35" i="19"/>
  <c r="C37" i="19" s="1"/>
  <c r="D50" i="29"/>
  <c r="F50" i="29" s="1"/>
  <c r="B49" i="9"/>
  <c r="G28" i="19"/>
  <c r="J10" i="34" s="1"/>
  <c r="J19" i="34" s="1"/>
  <c r="K24" i="25"/>
  <c r="M24" i="25" s="1"/>
  <c r="F20" i="19"/>
  <c r="F25" i="19"/>
  <c r="K13" i="25"/>
  <c r="M13" i="25" s="1"/>
  <c r="J45" i="14"/>
  <c r="F46" i="25"/>
  <c r="H46" i="25" s="1"/>
  <c r="I32" i="25"/>
  <c r="K32" i="25" s="1"/>
  <c r="M32" i="25" s="1"/>
  <c r="M41" i="25" s="1"/>
  <c r="E62" i="11"/>
  <c r="H41" i="25"/>
  <c r="F13" i="25"/>
  <c r="H13" i="25" s="1"/>
  <c r="D35" i="5"/>
  <c r="E65" i="11"/>
  <c r="D46" i="14"/>
  <c r="H28" i="19" s="1"/>
  <c r="D46" i="5"/>
  <c r="J46" i="5" s="1"/>
  <c r="J29" i="14"/>
  <c r="D25" i="8"/>
  <c r="L25" i="8" s="1"/>
  <c r="E71" i="11"/>
  <c r="E63" i="11"/>
  <c r="E61" i="11"/>
  <c r="E64" i="11"/>
  <c r="E8" i="34" l="1"/>
  <c r="F40" i="19"/>
  <c r="E17" i="34"/>
  <c r="F47" i="19"/>
  <c r="E12" i="34"/>
  <c r="F43" i="19"/>
  <c r="I46" i="25"/>
  <c r="K46" i="25" s="1"/>
  <c r="M46" i="25" s="1"/>
  <c r="O10" i="34"/>
  <c r="O19" i="34" s="1"/>
  <c r="E98" i="9"/>
  <c r="D98" i="9"/>
  <c r="C98" i="9"/>
  <c r="G98" i="9"/>
  <c r="F98" i="9"/>
  <c r="F35" i="19"/>
  <c r="E24" i="34" s="1"/>
  <c r="D54" i="29"/>
  <c r="F54" i="29"/>
  <c r="D26" i="8"/>
  <c r="L26" i="8" s="1"/>
  <c r="J46" i="14"/>
  <c r="E72" i="11"/>
  <c r="F48" i="19" l="1"/>
  <c r="E19" i="34"/>
  <c r="F37" i="19"/>
  <c r="I57" i="25"/>
  <c r="K57" i="25" s="1"/>
  <c r="M57" i="25" s="1"/>
  <c r="B35" i="5"/>
  <c r="C34" i="5" l="1"/>
  <c r="C35" i="5"/>
  <c r="J35" i="5" s="1"/>
  <c r="B39" i="5" s="1"/>
  <c r="H39" i="5" l="1"/>
  <c r="F39" i="5"/>
  <c r="E39" i="5"/>
  <c r="G39" i="5"/>
  <c r="D39" i="5"/>
  <c r="I39" i="5"/>
  <c r="C39" i="5"/>
  <c r="J34" i="5"/>
  <c r="G37" i="5" l="1"/>
  <c r="F37" i="5"/>
  <c r="D37" i="5"/>
  <c r="I37" i="5"/>
  <c r="E37" i="5"/>
  <c r="H37" i="5"/>
  <c r="B37" i="5"/>
  <c r="C37" i="5"/>
  <c r="J39" i="5"/>
  <c r="J37" i="5" l="1"/>
  <c r="I13" i="7" l="1"/>
  <c r="J38" i="5" s="1"/>
  <c r="I38" i="5" s="1"/>
  <c r="I42" i="5" s="1"/>
  <c r="I48" i="5" l="1"/>
  <c r="I51" i="5" s="1"/>
  <c r="F46" i="9"/>
  <c r="D38" i="5"/>
  <c r="D42" i="5" s="1"/>
  <c r="D12" i="19" s="1"/>
  <c r="B38" i="5"/>
  <c r="B42" i="5" s="1"/>
  <c r="F18" i="9" s="1"/>
  <c r="K28" i="8"/>
  <c r="E38" i="5"/>
  <c r="E42" i="5" s="1"/>
  <c r="C38" i="5"/>
  <c r="C42" i="5" s="1"/>
  <c r="H38" i="5"/>
  <c r="H42" i="5" s="1"/>
  <c r="G38" i="5"/>
  <c r="G42" i="5" s="1"/>
  <c r="F38" i="5"/>
  <c r="F42" i="5" s="1"/>
  <c r="J40" i="5"/>
  <c r="C48" i="5" l="1"/>
  <c r="C51" i="5" s="1"/>
  <c r="F22" i="9"/>
  <c r="F26" i="9"/>
  <c r="D22" i="8"/>
  <c r="D28" i="8" s="1"/>
  <c r="D27" i="32" s="1"/>
  <c r="H48" i="5"/>
  <c r="H51" i="5" s="1"/>
  <c r="F42" i="9"/>
  <c r="J22" i="8"/>
  <c r="F48" i="5"/>
  <c r="F51" i="5" s="1"/>
  <c r="F34" i="9"/>
  <c r="H22" i="8"/>
  <c r="E48" i="5"/>
  <c r="E51" i="5" s="1"/>
  <c r="F30" i="9"/>
  <c r="G48" i="5"/>
  <c r="G51" i="5" s="1"/>
  <c r="F38" i="9"/>
  <c r="I22" i="8"/>
  <c r="B48" i="5"/>
  <c r="B51" i="5" s="1"/>
  <c r="B27" i="32" s="1"/>
  <c r="D48" i="5"/>
  <c r="D51" i="5" s="1"/>
  <c r="B28" i="8"/>
  <c r="C28" i="8"/>
  <c r="E11" i="19" s="1"/>
  <c r="E26" i="19" s="1"/>
  <c r="E19" i="19"/>
  <c r="E34" i="19" s="1"/>
  <c r="K27" i="32"/>
  <c r="D19" i="19"/>
  <c r="J42" i="5"/>
  <c r="F13" i="9" s="1"/>
  <c r="H40" i="5"/>
  <c r="H43" i="5" s="1"/>
  <c r="G40" i="5"/>
  <c r="G43" i="5" s="1"/>
  <c r="F40" i="5"/>
  <c r="F43" i="5" s="1"/>
  <c r="E40" i="5"/>
  <c r="E43" i="5" s="1"/>
  <c r="D40" i="5"/>
  <c r="D43" i="5" s="1"/>
  <c r="G12" i="19" s="1"/>
  <c r="C40" i="5"/>
  <c r="C43" i="5" s="1"/>
  <c r="I40" i="5"/>
  <c r="I43" i="5" s="1"/>
  <c r="B40" i="5"/>
  <c r="B43" i="5" s="1"/>
  <c r="F27" i="9" l="1"/>
  <c r="C49" i="5"/>
  <c r="G22" i="9"/>
  <c r="D10" i="19"/>
  <c r="D21" i="25" s="1"/>
  <c r="F21" i="25" s="1"/>
  <c r="H21" i="25" s="1"/>
  <c r="E49" i="5"/>
  <c r="G30" i="9"/>
  <c r="F49" i="5"/>
  <c r="G34" i="9"/>
  <c r="H23" i="8"/>
  <c r="E12" i="19"/>
  <c r="E27" i="19" s="1"/>
  <c r="D45" i="25" s="1"/>
  <c r="D23" i="29" s="1"/>
  <c r="F23" i="29" s="1"/>
  <c r="B49" i="5"/>
  <c r="G18" i="9"/>
  <c r="I49" i="5"/>
  <c r="G46" i="9"/>
  <c r="D49" i="5"/>
  <c r="D23" i="8"/>
  <c r="G27" i="9" s="1"/>
  <c r="G26" i="9"/>
  <c r="G49" i="5"/>
  <c r="G38" i="9"/>
  <c r="I23" i="8"/>
  <c r="G39" i="9" s="1"/>
  <c r="H49" i="5"/>
  <c r="G42" i="9"/>
  <c r="J23" i="8"/>
  <c r="G43" i="9" s="1"/>
  <c r="I28" i="8"/>
  <c r="E17" i="19" s="1"/>
  <c r="F39" i="9"/>
  <c r="H28" i="8"/>
  <c r="E16" i="19" s="1"/>
  <c r="F35" i="9"/>
  <c r="J28" i="8"/>
  <c r="E18" i="19" s="1"/>
  <c r="F43" i="9"/>
  <c r="D12" i="25"/>
  <c r="F12" i="25" s="1"/>
  <c r="H12" i="25" s="1"/>
  <c r="F51" i="9"/>
  <c r="C29" i="8"/>
  <c r="H11" i="19" s="1"/>
  <c r="H26" i="19" s="1"/>
  <c r="H41" i="19" s="1"/>
  <c r="E10" i="19"/>
  <c r="D16" i="19"/>
  <c r="H27" i="32"/>
  <c r="C27" i="32"/>
  <c r="D11" i="19"/>
  <c r="J48" i="5"/>
  <c r="J51" i="5" s="1"/>
  <c r="I27" i="32"/>
  <c r="D17" i="19"/>
  <c r="L22" i="8"/>
  <c r="J43" i="5"/>
  <c r="G13" i="9" s="1"/>
  <c r="D14" i="19"/>
  <c r="D18" i="25"/>
  <c r="F18" i="25" s="1"/>
  <c r="H18" i="25" s="1"/>
  <c r="D34" i="19"/>
  <c r="D51" i="25"/>
  <c r="D29" i="25"/>
  <c r="F29" i="25" s="1"/>
  <c r="H29" i="25" s="1"/>
  <c r="J27" i="32"/>
  <c r="D18" i="19"/>
  <c r="K29" i="8"/>
  <c r="L27" i="32"/>
  <c r="D30" i="32"/>
  <c r="F45" i="25" l="1"/>
  <c r="H45" i="25" s="1"/>
  <c r="D10" i="25"/>
  <c r="F10" i="25" s="1"/>
  <c r="H10" i="25" s="1"/>
  <c r="D43" i="25"/>
  <c r="F43" i="25" s="1"/>
  <c r="H43" i="25" s="1"/>
  <c r="D25" i="19"/>
  <c r="D56" i="25"/>
  <c r="F56" i="25" s="1"/>
  <c r="H56" i="25" s="1"/>
  <c r="F52" i="9"/>
  <c r="L28" i="8"/>
  <c r="D23" i="25"/>
  <c r="F23" i="25" s="1"/>
  <c r="H23" i="25" s="1"/>
  <c r="I12" i="25"/>
  <c r="K12" i="25" s="1"/>
  <c r="M12" i="25" s="1"/>
  <c r="G51" i="9"/>
  <c r="D27" i="19"/>
  <c r="F54" i="9"/>
  <c r="F62" i="9"/>
  <c r="G96" i="9"/>
  <c r="F96" i="9"/>
  <c r="E96" i="9"/>
  <c r="D96" i="9"/>
  <c r="C96" i="9"/>
  <c r="F75" i="9"/>
  <c r="J29" i="8"/>
  <c r="I29" i="8"/>
  <c r="H29" i="8"/>
  <c r="D80" i="9"/>
  <c r="F79" i="9"/>
  <c r="D29" i="8"/>
  <c r="H12" i="19"/>
  <c r="H27" i="19" s="1"/>
  <c r="H42" i="19" s="1"/>
  <c r="L30" i="32"/>
  <c r="D36" i="32"/>
  <c r="L36" i="32" s="1"/>
  <c r="D34" i="29"/>
  <c r="F34" i="29" s="1"/>
  <c r="F41" i="29" s="1"/>
  <c r="D33" i="19"/>
  <c r="D17" i="25"/>
  <c r="F17" i="25" s="1"/>
  <c r="H17" i="25" s="1"/>
  <c r="D28" i="25"/>
  <c r="F28" i="25" s="1"/>
  <c r="H28" i="25" s="1"/>
  <c r="G52" i="5"/>
  <c r="I28" i="32" s="1"/>
  <c r="G17" i="19"/>
  <c r="D32" i="19"/>
  <c r="D27" i="25"/>
  <c r="F27" i="25" s="1"/>
  <c r="H27" i="25" s="1"/>
  <c r="D16" i="25"/>
  <c r="F16" i="25" s="1"/>
  <c r="H16" i="25" s="1"/>
  <c r="D31" i="19"/>
  <c r="D26" i="25"/>
  <c r="F26" i="25" s="1"/>
  <c r="H26" i="25" s="1"/>
  <c r="D15" i="25"/>
  <c r="F15" i="25" s="1"/>
  <c r="H15" i="25" s="1"/>
  <c r="I52" i="5"/>
  <c r="K28" i="32" s="1"/>
  <c r="G19" i="19"/>
  <c r="D29" i="29"/>
  <c r="F29" i="29" s="1"/>
  <c r="D62" i="25"/>
  <c r="F62" i="25" s="1"/>
  <c r="H62" i="25" s="1"/>
  <c r="F51" i="25"/>
  <c r="H51" i="25" s="1"/>
  <c r="L23" i="8"/>
  <c r="B29" i="8"/>
  <c r="D48" i="25"/>
  <c r="E31" i="19"/>
  <c r="G27" i="19"/>
  <c r="D44" i="25"/>
  <c r="D26" i="19"/>
  <c r="D22" i="25"/>
  <c r="D11" i="25"/>
  <c r="D20" i="19"/>
  <c r="E20" i="19"/>
  <c r="E25" i="19"/>
  <c r="C52" i="5"/>
  <c r="C28" i="32" s="1"/>
  <c r="G11" i="19"/>
  <c r="D29" i="19"/>
  <c r="D25" i="25"/>
  <c r="F25" i="25" s="1"/>
  <c r="H25" i="25" s="1"/>
  <c r="D30" i="19"/>
  <c r="D14" i="25"/>
  <c r="F14" i="25" s="1"/>
  <c r="H14" i="25" s="1"/>
  <c r="B52" i="5"/>
  <c r="B28" i="32" s="1"/>
  <c r="J49" i="5"/>
  <c r="G10" i="19"/>
  <c r="H52" i="5"/>
  <c r="J28" i="32" s="1"/>
  <c r="G18" i="19"/>
  <c r="E32" i="19"/>
  <c r="D49" i="25"/>
  <c r="G16" i="19"/>
  <c r="F52" i="5"/>
  <c r="H28" i="32" s="1"/>
  <c r="H19" i="19"/>
  <c r="H34" i="19" s="1"/>
  <c r="H47" i="19" s="1"/>
  <c r="E33" i="19"/>
  <c r="D50" i="25"/>
  <c r="E52" i="5"/>
  <c r="G14" i="19"/>
  <c r="D52" i="5"/>
  <c r="D54" i="25" l="1"/>
  <c r="F54" i="25" s="1"/>
  <c r="H54" i="25" s="1"/>
  <c r="D21" i="29"/>
  <c r="F21" i="29" s="1"/>
  <c r="F10" i="34"/>
  <c r="G42" i="19"/>
  <c r="I23" i="25"/>
  <c r="K23" i="25" s="1"/>
  <c r="M23" i="25" s="1"/>
  <c r="G62" i="9"/>
  <c r="H16" i="19"/>
  <c r="H31" i="19" s="1"/>
  <c r="H44" i="19" s="1"/>
  <c r="G35" i="9"/>
  <c r="G52" i="9" s="1"/>
  <c r="I45" i="25"/>
  <c r="D58" i="29" s="1"/>
  <c r="F58" i="29" s="1"/>
  <c r="G10" i="34"/>
  <c r="G54" i="9"/>
  <c r="H18" i="19"/>
  <c r="H33" i="19" s="1"/>
  <c r="H46" i="19" s="1"/>
  <c r="E95" i="9"/>
  <c r="G80" i="9"/>
  <c r="E83" i="9"/>
  <c r="G79" i="9"/>
  <c r="G75" i="9"/>
  <c r="C71" i="9"/>
  <c r="C75" i="9"/>
  <c r="C87" i="9"/>
  <c r="E71" i="9"/>
  <c r="E87" i="9"/>
  <c r="E91" i="9"/>
  <c r="G83" i="9"/>
  <c r="F95" i="9"/>
  <c r="C83" i="9"/>
  <c r="D71" i="9"/>
  <c r="D67" i="9"/>
  <c r="D75" i="9"/>
  <c r="D87" i="9"/>
  <c r="C95" i="9"/>
  <c r="C79" i="9"/>
  <c r="E67" i="9"/>
  <c r="C91" i="9"/>
  <c r="G95" i="9"/>
  <c r="D83" i="9"/>
  <c r="F71" i="9"/>
  <c r="F67" i="9"/>
  <c r="D91" i="9"/>
  <c r="D79" i="9"/>
  <c r="H17" i="19"/>
  <c r="H32" i="19" s="1"/>
  <c r="H45" i="19" s="1"/>
  <c r="G67" i="9"/>
  <c r="F87" i="9"/>
  <c r="E80" i="9"/>
  <c r="C92" i="9"/>
  <c r="F91" i="9"/>
  <c r="G87" i="9"/>
  <c r="F83" i="9"/>
  <c r="G91" i="9"/>
  <c r="C67" i="9"/>
  <c r="D95" i="9"/>
  <c r="F80" i="9"/>
  <c r="G71" i="9"/>
  <c r="E75" i="9"/>
  <c r="E79" i="9"/>
  <c r="C30" i="32"/>
  <c r="C31" i="32"/>
  <c r="B31" i="32"/>
  <c r="B30" i="32"/>
  <c r="I30" i="32"/>
  <c r="I31" i="32"/>
  <c r="K31" i="32"/>
  <c r="K30" i="32"/>
  <c r="I15" i="25"/>
  <c r="G31" i="19"/>
  <c r="G20" i="19"/>
  <c r="I21" i="25"/>
  <c r="G25" i="19"/>
  <c r="I10" i="25"/>
  <c r="I43" i="25"/>
  <c r="H30" i="32"/>
  <c r="H31" i="32"/>
  <c r="D27" i="29"/>
  <c r="F27" i="29" s="1"/>
  <c r="F49" i="25"/>
  <c r="H49" i="25" s="1"/>
  <c r="D60" i="25"/>
  <c r="F60" i="25" s="1"/>
  <c r="H60" i="25" s="1"/>
  <c r="G33" i="19"/>
  <c r="I28" i="25"/>
  <c r="K28" i="25" s="1"/>
  <c r="M28" i="25" s="1"/>
  <c r="I17" i="25"/>
  <c r="K17" i="25" s="1"/>
  <c r="M17" i="25" s="1"/>
  <c r="I22" i="25"/>
  <c r="K22" i="25" s="1"/>
  <c r="M22" i="25" s="1"/>
  <c r="I11" i="25"/>
  <c r="K11" i="25" s="1"/>
  <c r="M11" i="25" s="1"/>
  <c r="G26" i="19"/>
  <c r="I44" i="25"/>
  <c r="E35" i="19"/>
  <c r="E37" i="19" s="1"/>
  <c r="F22" i="25"/>
  <c r="H22" i="25" s="1"/>
  <c r="H30" i="25" s="1"/>
  <c r="D30" i="25"/>
  <c r="H10" i="19"/>
  <c r="L29" i="8"/>
  <c r="D28" i="32"/>
  <c r="D31" i="32" s="1"/>
  <c r="D35" i="19"/>
  <c r="D37" i="19" s="1"/>
  <c r="I29" i="25"/>
  <c r="K29" i="25" s="1"/>
  <c r="M29" i="25" s="1"/>
  <c r="I18" i="25"/>
  <c r="K18" i="25" s="1"/>
  <c r="M18" i="25" s="1"/>
  <c r="G34" i="19"/>
  <c r="G47" i="19" s="1"/>
  <c r="F44" i="25"/>
  <c r="H44" i="25" s="1"/>
  <c r="D22" i="29"/>
  <c r="F22" i="29" s="1"/>
  <c r="D55" i="25"/>
  <c r="F55" i="25" s="1"/>
  <c r="H55" i="25" s="1"/>
  <c r="G29" i="19"/>
  <c r="G30" i="19"/>
  <c r="I14" i="25"/>
  <c r="D61" i="25"/>
  <c r="F61" i="25" s="1"/>
  <c r="H61" i="25" s="1"/>
  <c r="D28" i="29"/>
  <c r="F28" i="29" s="1"/>
  <c r="F50" i="25"/>
  <c r="H50" i="25" s="1"/>
  <c r="J30" i="32"/>
  <c r="J31" i="32"/>
  <c r="J52" i="5"/>
  <c r="C62" i="9"/>
  <c r="F11" i="25"/>
  <c r="H11" i="25" s="1"/>
  <c r="H19" i="25" s="1"/>
  <c r="D19" i="25"/>
  <c r="F48" i="25"/>
  <c r="H48" i="25" s="1"/>
  <c r="D26" i="29"/>
  <c r="F26" i="29" s="1"/>
  <c r="D59" i="25"/>
  <c r="F59" i="25" s="1"/>
  <c r="H59" i="25" s="1"/>
  <c r="I16" i="25"/>
  <c r="K16" i="25" s="1"/>
  <c r="M16" i="25" s="1"/>
  <c r="G32" i="19"/>
  <c r="I27" i="25"/>
  <c r="K27" i="25" s="1"/>
  <c r="M27" i="25" s="1"/>
  <c r="G43" i="19" l="1"/>
  <c r="F15" i="34"/>
  <c r="G45" i="19"/>
  <c r="F16" i="34"/>
  <c r="G46" i="19"/>
  <c r="F8" i="34"/>
  <c r="G40" i="19"/>
  <c r="F9" i="34"/>
  <c r="G41" i="19"/>
  <c r="F14" i="34"/>
  <c r="G44" i="19"/>
  <c r="I56" i="25"/>
  <c r="K56" i="25" s="1"/>
  <c r="M56" i="25" s="1"/>
  <c r="F12" i="34"/>
  <c r="I49" i="25"/>
  <c r="D62" i="29" s="1"/>
  <c r="F62" i="29" s="1"/>
  <c r="G15" i="34"/>
  <c r="I50" i="25"/>
  <c r="D63" i="29" s="1"/>
  <c r="F63" i="29" s="1"/>
  <c r="G16" i="34"/>
  <c r="K45" i="25"/>
  <c r="M45" i="25" s="1"/>
  <c r="I51" i="25"/>
  <c r="D64" i="29" s="1"/>
  <c r="F64" i="29" s="1"/>
  <c r="F17" i="34"/>
  <c r="I48" i="25"/>
  <c r="G14" i="34"/>
  <c r="C84" i="9"/>
  <c r="E92" i="9"/>
  <c r="D84" i="9"/>
  <c r="D92" i="9"/>
  <c r="F92" i="9"/>
  <c r="D88" i="9"/>
  <c r="G84" i="9"/>
  <c r="E88" i="9"/>
  <c r="C99" i="9"/>
  <c r="C102" i="9" s="1"/>
  <c r="G99" i="9"/>
  <c r="G102" i="9" s="1"/>
  <c r="E84" i="9"/>
  <c r="G92" i="9"/>
  <c r="E99" i="9"/>
  <c r="E102" i="9" s="1"/>
  <c r="F84" i="9"/>
  <c r="C88" i="9"/>
  <c r="F99" i="9"/>
  <c r="F102" i="9" s="1"/>
  <c r="C76" i="9"/>
  <c r="D76" i="9"/>
  <c r="E76" i="9"/>
  <c r="F88" i="9"/>
  <c r="F76" i="9"/>
  <c r="G88" i="9"/>
  <c r="D99" i="9"/>
  <c r="D102" i="9" s="1"/>
  <c r="G76" i="9"/>
  <c r="J34" i="32"/>
  <c r="J33" i="32"/>
  <c r="H63" i="25"/>
  <c r="H52" i="25"/>
  <c r="K21" i="25"/>
  <c r="M21" i="25" s="1"/>
  <c r="L28" i="32"/>
  <c r="I54" i="25"/>
  <c r="K54" i="25" s="1"/>
  <c r="M54" i="25" s="1"/>
  <c r="K43" i="25"/>
  <c r="M43" i="25" s="1"/>
  <c r="D56" i="29"/>
  <c r="F56" i="29" s="1"/>
  <c r="K33" i="32"/>
  <c r="K34" i="32"/>
  <c r="B34" i="32"/>
  <c r="B33" i="32"/>
  <c r="I19" i="25"/>
  <c r="K10" i="25"/>
  <c r="M10" i="25" s="1"/>
  <c r="I33" i="32"/>
  <c r="I34" i="32"/>
  <c r="C33" i="32"/>
  <c r="C34" i="32"/>
  <c r="K14" i="25"/>
  <c r="M14" i="25" s="1"/>
  <c r="I25" i="25"/>
  <c r="K25" i="25" s="1"/>
  <c r="M25" i="25" s="1"/>
  <c r="F30" i="29"/>
  <c r="F42" i="29" s="1"/>
  <c r="H25" i="19"/>
  <c r="H20" i="19"/>
  <c r="D57" i="29"/>
  <c r="F57" i="29" s="1"/>
  <c r="I55" i="25"/>
  <c r="K55" i="25" s="1"/>
  <c r="M55" i="25" s="1"/>
  <c r="K44" i="25"/>
  <c r="M44" i="25" s="1"/>
  <c r="H33" i="32"/>
  <c r="H34" i="32"/>
  <c r="G35" i="19"/>
  <c r="F24" i="34" s="1"/>
  <c r="K15" i="25"/>
  <c r="M15" i="25" s="1"/>
  <c r="I26" i="25"/>
  <c r="K26" i="25" s="1"/>
  <c r="M26" i="25" s="1"/>
  <c r="H35" i="19" l="1"/>
  <c r="G24" i="34" s="1"/>
  <c r="H40" i="19"/>
  <c r="H48" i="19" s="1"/>
  <c r="H37" i="19"/>
  <c r="G48" i="19"/>
  <c r="G37" i="19"/>
  <c r="K50" i="25"/>
  <c r="M50" i="25" s="1"/>
  <c r="I61" i="25"/>
  <c r="K61" i="25" s="1"/>
  <c r="M61" i="25" s="1"/>
  <c r="K51" i="25"/>
  <c r="M51" i="25" s="1"/>
  <c r="I62" i="25"/>
  <c r="K62" i="25" s="1"/>
  <c r="M62" i="25" s="1"/>
  <c r="G19" i="34"/>
  <c r="F19" i="34"/>
  <c r="K48" i="25"/>
  <c r="M48" i="25" s="1"/>
  <c r="D61" i="29"/>
  <c r="F61" i="29" s="1"/>
  <c r="F65" i="29" s="1"/>
  <c r="I59" i="25"/>
  <c r="K59" i="25" s="1"/>
  <c r="M59" i="25" s="1"/>
  <c r="I60" i="25"/>
  <c r="K60" i="25" s="1"/>
  <c r="M60" i="25" s="1"/>
  <c r="K49" i="25"/>
  <c r="M49" i="25" s="1"/>
  <c r="D100" i="9"/>
  <c r="G100" i="9"/>
  <c r="E100" i="9"/>
  <c r="F100" i="9"/>
  <c r="C100" i="9"/>
  <c r="H64" i="25"/>
  <c r="K36" i="32"/>
  <c r="K37" i="32"/>
  <c r="C36" i="32"/>
  <c r="C37" i="32"/>
  <c r="M19" i="25"/>
  <c r="M30" i="25"/>
  <c r="H37" i="32"/>
  <c r="H36" i="32"/>
  <c r="B37" i="32"/>
  <c r="B36" i="32"/>
  <c r="I30" i="25"/>
  <c r="I37" i="32"/>
  <c r="I36" i="32"/>
  <c r="L31" i="32"/>
  <c r="D69" i="29"/>
  <c r="F69" i="29" s="1"/>
  <c r="F76" i="29" s="1"/>
  <c r="D37" i="32"/>
  <c r="J36" i="32"/>
  <c r="J37" i="32"/>
  <c r="M63" i="25" l="1"/>
  <c r="M52" i="25"/>
  <c r="L37" i="32"/>
  <c r="H24" i="34" s="1"/>
  <c r="H10" i="34"/>
  <c r="H19" i="34" s="1"/>
  <c r="F77" i="29"/>
  <c r="M64" i="25" l="1"/>
</calcChain>
</file>

<file path=xl/sharedStrings.xml><?xml version="1.0" encoding="utf-8"?>
<sst xmlns="http://schemas.openxmlformats.org/spreadsheetml/2006/main" count="724" uniqueCount="237">
  <si>
    <t xml:space="preserve">Entegrus Powerlines Inc. </t>
  </si>
  <si>
    <t>2016 Cost of Service Load Forecast</t>
  </si>
  <si>
    <t>Residential</t>
  </si>
  <si>
    <t>General Service &lt; 50 kW</t>
  </si>
  <si>
    <t>General Service &gt; 50 kW</t>
  </si>
  <si>
    <t>Large Use</t>
  </si>
  <si>
    <t>Unmetered Scattered Load</t>
  </si>
  <si>
    <t>Street Lighting</t>
  </si>
  <si>
    <t>Sentinel Lighting</t>
  </si>
  <si>
    <t>Total</t>
  </si>
  <si>
    <t>Year</t>
  </si>
  <si>
    <t>Customer Growth Rate</t>
  </si>
  <si>
    <t>Forecast Number of Customer/Connections</t>
  </si>
  <si>
    <t>Month</t>
  </si>
  <si>
    <t>kWh</t>
  </si>
  <si>
    <t>Actual Purchases</t>
  </si>
  <si>
    <t>Modeled Purchases</t>
  </si>
  <si>
    <t>Difference</t>
  </si>
  <si>
    <t>Difference %</t>
  </si>
  <si>
    <t>Forecast Accuracy</t>
  </si>
  <si>
    <t>Determination of Loss Factor</t>
  </si>
  <si>
    <t>Total Billed</t>
  </si>
  <si>
    <t>Percentage of kW to kWh</t>
  </si>
  <si>
    <t>Description</t>
  </si>
  <si>
    <t>Actual kWh Purchases</t>
  </si>
  <si>
    <t>Predicted Purchases</t>
  </si>
  <si>
    <t>Percent Difference from Actual</t>
  </si>
  <si>
    <t>Billed kWh</t>
  </si>
  <si>
    <t>Billed kWh by Rate Class</t>
  </si>
  <si>
    <t>Customers</t>
  </si>
  <si>
    <t>kW</t>
  </si>
  <si>
    <t>USL</t>
  </si>
  <si>
    <t>TOTAL</t>
  </si>
  <si>
    <t>Connections</t>
  </si>
  <si>
    <t>Reconciliation of Purchases</t>
  </si>
  <si>
    <t>Check</t>
  </si>
  <si>
    <t>Losses</t>
  </si>
  <si>
    <t>Loss Factor</t>
  </si>
  <si>
    <t>Average Growth per Customer</t>
  </si>
  <si>
    <t>Average Consumption per Customer (kWh)</t>
  </si>
  <si>
    <t>Forecasted Average Consumption per Customer (kWh)</t>
  </si>
  <si>
    <t>Calculated Consumption Non-Weather Adjusted (kWh)</t>
  </si>
  <si>
    <t>Forecast Consumption by Rate Class (kWh)</t>
  </si>
  <si>
    <t>Forecast Demand by Rate Class (kW)</t>
  </si>
  <si>
    <t>January</t>
  </si>
  <si>
    <t>February</t>
  </si>
  <si>
    <t>March</t>
  </si>
  <si>
    <t>April</t>
  </si>
  <si>
    <t>May</t>
  </si>
  <si>
    <t>June</t>
  </si>
  <si>
    <t>July</t>
  </si>
  <si>
    <t>August</t>
  </si>
  <si>
    <t>September</t>
  </si>
  <si>
    <t>October</t>
  </si>
  <si>
    <t>November</t>
  </si>
  <si>
    <t>December</t>
  </si>
  <si>
    <t>may</t>
  </si>
  <si>
    <t>Calculation of Weather Sensitive Load</t>
  </si>
  <si>
    <t>% of Load</t>
  </si>
  <si>
    <t>Percent</t>
  </si>
  <si>
    <t>Allocation of Weather Adjustment</t>
  </si>
  <si>
    <t>TOTAL NORMALIZED LOAD FORECAST</t>
  </si>
  <si>
    <t>Customer A</t>
  </si>
  <si>
    <t>Customer B</t>
  </si>
  <si>
    <t>% kWh/kW</t>
  </si>
  <si>
    <t>Historical kWh</t>
  </si>
  <si>
    <t>Forecasted kWh</t>
  </si>
  <si>
    <t>Historical kW</t>
  </si>
  <si>
    <t>Percentage kW/kWh</t>
  </si>
  <si>
    <t>Total kW Forecast</t>
  </si>
  <si>
    <t>Historical and Weather Normalized Load Forecast</t>
  </si>
  <si>
    <t>Line No.</t>
  </si>
  <si>
    <t>Rate Class</t>
  </si>
  <si>
    <t>Cust/Conn</t>
  </si>
  <si>
    <t>Sentinel Lights</t>
  </si>
  <si>
    <t>Street Lights</t>
  </si>
  <si>
    <t>Billing Determinant</t>
  </si>
  <si>
    <t>Rate</t>
  </si>
  <si>
    <t>Amount</t>
  </si>
  <si>
    <t>Commodity</t>
  </si>
  <si>
    <t>Wholesale Market Services &amp; Rural Rate Assistance</t>
  </si>
  <si>
    <t>General Service &lt;50</t>
  </si>
  <si>
    <t>General Service &gt;50</t>
  </si>
  <si>
    <t>Market Participant</t>
  </si>
  <si>
    <t>Umetered Scatter Load</t>
  </si>
  <si>
    <t>Smart Metering Entiry</t>
  </si>
  <si>
    <t>Cust</t>
  </si>
  <si>
    <t>Transmission - Network</t>
  </si>
  <si>
    <t>Transmission - Connection</t>
  </si>
  <si>
    <t>GRAND TOTAL</t>
  </si>
  <si>
    <t>RPP</t>
  </si>
  <si>
    <t>Non-RPP</t>
  </si>
  <si>
    <t>Forecast Wholesale Electricity Price</t>
  </si>
  <si>
    <t>Load-Weighted Price for RPP Consumers</t>
  </si>
  <si>
    <t>Impact of Global Adjustment</t>
  </si>
  <si>
    <t>Adjustment to Address Bias Towards Unfavourable Variance</t>
  </si>
  <si>
    <t>Adjustment to Clear Existing Variance</t>
  </si>
  <si>
    <t>Total Supply Cost ($/MWh)</t>
  </si>
  <si>
    <t>Total
 kWh</t>
  </si>
  <si>
    <t>Standby</t>
  </si>
  <si>
    <t>Allocation %</t>
  </si>
  <si>
    <t>Commodty Rate ($/kWh)</t>
  </si>
  <si>
    <t>Weighted Average Rate ($/kWh)</t>
  </si>
  <si>
    <t>2016 Proposed</t>
  </si>
  <si>
    <t>RTSR - Network</t>
  </si>
  <si>
    <t>RTSR - Connection</t>
  </si>
  <si>
    <t>Cost of Power Estimates</t>
  </si>
  <si>
    <t>Unmetered Scattered Load (Conn)</t>
  </si>
  <si>
    <t>Sentinel Lighting (Conn)</t>
  </si>
  <si>
    <t>Street Lighting (Conn)</t>
  </si>
  <si>
    <t>Total Sec &lt;5</t>
  </si>
  <si>
    <t>Total Sec &gt;5</t>
  </si>
  <si>
    <t>Total Pri &lt;5</t>
  </si>
  <si>
    <t>Total Pri &gt;5</t>
  </si>
  <si>
    <t>Unit</t>
  </si>
  <si>
    <t>Load Forecast</t>
  </si>
  <si>
    <t>Cost of Power Rates Utilized</t>
  </si>
  <si>
    <t>Year End Customer/Connections</t>
  </si>
  <si>
    <t>Forecasted Customers/Connections</t>
  </si>
  <si>
    <t>WMP ADJUSTMENT</t>
  </si>
  <si>
    <t>TOTAL ADJUSTED WEATHER NORMALIZED LOAD FORECAST</t>
  </si>
  <si>
    <t>Calculation of Wholesale Market Participant</t>
  </si>
  <si>
    <t>WMP Adjustment</t>
  </si>
  <si>
    <t>Add: WMP</t>
  </si>
  <si>
    <t>Total Adjusted Demand (kW)</t>
  </si>
  <si>
    <t>Total Demand Forecast (kW)</t>
  </si>
  <si>
    <t xml:space="preserve">GS &lt; 50 kW </t>
  </si>
  <si>
    <t>GS &gt; 50 - 4,999 kW</t>
  </si>
  <si>
    <t xml:space="preserve">Line No. </t>
  </si>
  <si>
    <t>Distribution Revenue</t>
  </si>
  <si>
    <t>FIXED REVENUE</t>
  </si>
  <si>
    <t>VOLUMETRIC REVENUE</t>
  </si>
  <si>
    <t>Conn</t>
  </si>
  <si>
    <t>Type</t>
  </si>
  <si>
    <t>Weather Normalized Load Forecast by Rate Class</t>
  </si>
  <si>
    <t>Weather Normalized Load Forecast by Rate Class - Used for Cost Allocation and Distribution Rate Design</t>
  </si>
  <si>
    <t>Summary of Weather Normalized Load Forecast</t>
  </si>
  <si>
    <t>London Hydro</t>
  </si>
  <si>
    <t>Utility Name</t>
  </si>
  <si>
    <t>OEB Case Number</t>
  </si>
  <si>
    <t xml:space="preserve">Subject </t>
  </si>
  <si>
    <t xml:space="preserve"> </t>
  </si>
  <si>
    <t>Average Annual Customers/Connections</t>
  </si>
  <si>
    <t>Co-Gen</t>
  </si>
  <si>
    <t>% Change</t>
  </si>
  <si>
    <t>Consumption (kWh)</t>
  </si>
  <si>
    <t>Demand (kW)</t>
  </si>
  <si>
    <t>Total Forecasted Customers/Connections</t>
  </si>
  <si>
    <t>Co-Gen
Stand-by</t>
  </si>
  <si>
    <t>Co-Gen
Total</t>
  </si>
  <si>
    <t>Co-Gen
Non Stand-by</t>
  </si>
  <si>
    <t>Change Customers/Connections</t>
  </si>
  <si>
    <t>Loss Factors:</t>
  </si>
  <si>
    <t>OEB RPP Link</t>
  </si>
  <si>
    <t>Supply Cost ($/MWh)
For the period from May 1, 2016 to April 30, 2017</t>
  </si>
  <si>
    <t>2015 RPP 
kWh</t>
  </si>
  <si>
    <t>2015 Non- RPP kWh</t>
  </si>
  <si>
    <t>2017 Proposed</t>
  </si>
  <si>
    <t>CoGeneration</t>
  </si>
  <si>
    <t>Co-Generation</t>
  </si>
  <si>
    <t>Approved 2016 Rates</t>
  </si>
  <si>
    <t>WMSR</t>
  </si>
  <si>
    <t>RRRP</t>
  </si>
  <si>
    <t>OESP</t>
  </si>
  <si>
    <t>Smart Meter Entity</t>
  </si>
  <si>
    <t>Historical Customers</t>
  </si>
  <si>
    <t>Forecasted Customers</t>
  </si>
  <si>
    <t>Wholesale Market Participant</t>
  </si>
  <si>
    <t>Per RRR Filing</t>
  </si>
  <si>
    <t>Lost Load kWh</t>
  </si>
  <si>
    <t>WSkWh</t>
  </si>
  <si>
    <t>Diff</t>
  </si>
  <si>
    <t>Annual OEB RRR vs. Used WSkWh</t>
  </si>
  <si>
    <t>Adjusted General Service &gt; 50 kW</t>
  </si>
  <si>
    <t>Adjusted Large Use</t>
  </si>
  <si>
    <t>CoGeneration StandBy</t>
  </si>
  <si>
    <t>Transformer Allowance</t>
  </si>
  <si>
    <t>KW</t>
  </si>
  <si>
    <t>Forecast Transformer Allowance by Rate Class (kW)</t>
  </si>
  <si>
    <t>Transformer Allowance (kW)</t>
  </si>
  <si>
    <t>Percentage Transformer Allowance To Demand (kW)</t>
  </si>
  <si>
    <t>Transformer Allowance Forecast (kW)</t>
  </si>
  <si>
    <t>Revenue at Old Rates</t>
  </si>
  <si>
    <t>RPP_Price_Report_May 2016</t>
  </si>
  <si>
    <t>WMP in RRR</t>
  </si>
  <si>
    <t>Customer/Connection Change</t>
  </si>
  <si>
    <t>Change</t>
  </si>
  <si>
    <t>% Change Customers/Connections</t>
  </si>
  <si>
    <t>% CHANGE TOTAL ADJUSTED WEATHER NORMALIZED LOAD FORECAST</t>
  </si>
  <si>
    <t>Transfer Large Use Customer</t>
  </si>
  <si>
    <t>Final Transformer Allowance Forecast (kW)</t>
  </si>
  <si>
    <t>microFIT</t>
  </si>
  <si>
    <t>EB-2021-0041</t>
  </si>
  <si>
    <t>2022 Load Forecast</t>
  </si>
  <si>
    <t>2017
Actual</t>
  </si>
  <si>
    <t>2018
Actual</t>
  </si>
  <si>
    <t>2019
Actual</t>
  </si>
  <si>
    <t>2020
Actual</t>
  </si>
  <si>
    <t>2021
Forecasted</t>
  </si>
  <si>
    <t>2022
Forecasted</t>
  </si>
  <si>
    <t>Annual Actual vs. Normalized WSkWh</t>
  </si>
  <si>
    <t>Sum of WSkWh</t>
  </si>
  <si>
    <t xml:space="preserve">Normalized Value </t>
  </si>
  <si>
    <t>Large User</t>
  </si>
  <si>
    <t>Applied For Charge Parameters</t>
  </si>
  <si>
    <t>Billed Customers or Connections</t>
  </si>
  <si>
    <t>Billed kW</t>
  </si>
  <si>
    <t>TOA kW</t>
  </si>
  <si>
    <t>Market Participant kWh</t>
  </si>
  <si>
    <t>Proposed Loss Factor</t>
  </si>
  <si>
    <t>Loss Adjusted Billed kWh</t>
  </si>
  <si>
    <t>kW's with no Transformation CN charge</t>
  </si>
  <si>
    <t>kW's subject to Transformation CN charge</t>
  </si>
  <si>
    <t>General Service Less Than 50 kW</t>
  </si>
  <si>
    <t>General Service 50 to 4,999 kW</t>
  </si>
  <si>
    <t>General Service 50 to 4,999 kW (Wholesale Market Participant)</t>
  </si>
  <si>
    <t>General Service 1,000 To 4,999 kW (co-generation)</t>
  </si>
  <si>
    <t>Standby Power</t>
  </si>
  <si>
    <t>2022 Load Forecast Accuracy &amp; Loss Factor</t>
  </si>
  <si>
    <t>Average (2017 to 2020)</t>
  </si>
  <si>
    <t>Geometric Mean  (2017 to 2020) GS&gt;50 Class</t>
  </si>
  <si>
    <t>Geomean (2017 to 2020)</t>
  </si>
  <si>
    <t>Geometric Mean  (2017 to 2020)</t>
  </si>
  <si>
    <t>Average  (2017 to 2020)</t>
  </si>
  <si>
    <t>RES</t>
  </si>
  <si>
    <t>G&lt;50</t>
  </si>
  <si>
    <t>G&gt;50</t>
  </si>
  <si>
    <t>CGEN</t>
  </si>
  <si>
    <t>LRG</t>
  </si>
  <si>
    <t>STRL</t>
  </si>
  <si>
    <t>SENL</t>
  </si>
  <si>
    <t>UM</t>
  </si>
  <si>
    <t>Grand Total</t>
  </si>
  <si>
    <t>Line Transformer Customer Base</t>
  </si>
  <si>
    <t>Forcasted customers</t>
  </si>
  <si>
    <t>Transformer Allowance customer</t>
  </si>
  <si>
    <t>Average    (2017 to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</si>
</sst>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quot;* #,##0.00_);_(&quot;$&quot;* \(#,##0.00\);_(&quot;$&quot;* &quot;-&quot;??_);_(@_)"/>
    <numFmt numFmtId="43" formatCode="_(* #,##0.00_);_(* \(#,##0.00\);_(* &quot;-&quot;??_);_(@_)"/>
    <numFmt numFmtId="164" formatCode="_-* #,##0.00_-;\-* #,##0.00_-;_-* &quot;-&quot;??_-;_-@_-"/>
    <numFmt numFmtId="165" formatCode="_(* #,##0_);_(* \(#,##0\);_(* &quot;-&quot;??_);_(@_)"/>
    <numFmt numFmtId="166" formatCode="_(* #,##0.0000_);_(* \(#,##0.0000\);_(* &quot;-&quot;??_);_(@_)"/>
    <numFmt numFmtId="167" formatCode="0.0%"/>
    <numFmt numFmtId="168" formatCode="0.000%"/>
    <numFmt numFmtId="169" formatCode="_-* #,##0_-;\-* #,##0_-;_-* &quot;-&quot;??_-;_-@_-"/>
    <numFmt numFmtId="170" formatCode="&quot;$&quot;#,##0.0000"/>
    <numFmt numFmtId="171" formatCode="&quot;$&quot;#,##0"/>
    <numFmt numFmtId="172" formatCode="&quot;$&quot;#,##0.00"/>
    <numFmt numFmtId="173" formatCode="_(&quot;$&quot;* #,##0_);_(&quot;$&quot;* \(#,##0\);_(&quot;$&quot;* &quot;-&quot;??_);_(@_)"/>
    <numFmt numFmtId="174" formatCode="#,##0_ ;[Red]\-#,##0\ "/>
    <numFmt numFmtId="175" formatCode="0.0000"/>
    <numFmt numFmtId="176" formatCode="#,##0_);\(#,##0\ \)"/>
    <numFmt numFmtId="177" formatCode="#,##0.0000_);\(#,##0.0000\ \)"/>
    <numFmt numFmtId="178" formatCode="#.00"/>
  </numFmts>
  <fonts count="25" x14ac:knownFonts="1">
    <font>
      <sz val="11"/>
      <color theme="1"/>
      <name val="Calibri"/>
      <family val="2"/>
    </font>
    <font>
      <sz val="11"/>
      <color theme="1"/>
      <name val="Calibri"/>
      <family val="2"/>
    </font>
    <font>
      <b/>
      <sz val="11"/>
      <color theme="1"/>
      <name val="Calibri"/>
      <family val="2"/>
    </font>
    <font>
      <b/>
      <sz val="14"/>
      <color theme="1"/>
      <name val="Calibri"/>
      <family val="2"/>
    </font>
    <font>
      <sz val="11"/>
      <color theme="1"/>
      <name val="Calibri"/>
      <family val="2"/>
      <scheme val="minor"/>
    </font>
    <font>
      <b/>
      <sz val="12"/>
      <color theme="1"/>
      <name val="Calibri"/>
      <family val="2"/>
    </font>
    <font>
      <sz val="11"/>
      <color theme="9"/>
      <name val="Calibri"/>
      <family val="2"/>
    </font>
    <font>
      <b/>
      <sz val="11"/>
      <color theme="0"/>
      <name val="Calibri"/>
      <family val="2"/>
    </font>
    <font>
      <b/>
      <sz val="11"/>
      <color theme="1"/>
      <name val="Calibri"/>
      <family val="2"/>
      <scheme val="minor"/>
    </font>
    <font>
      <sz val="11"/>
      <color rgb="FF006100"/>
      <name val="Calibri"/>
      <family val="2"/>
      <scheme val="minor"/>
    </font>
    <font>
      <b/>
      <sz val="14"/>
      <color theme="1"/>
      <name val="Calibri"/>
      <family val="2"/>
      <scheme val="minor"/>
    </font>
    <font>
      <sz val="10"/>
      <name val="Arial"/>
      <family val="2"/>
    </font>
    <font>
      <b/>
      <sz val="11"/>
      <name val="Calibri"/>
      <family val="2"/>
    </font>
    <font>
      <b/>
      <sz val="8"/>
      <color theme="1"/>
      <name val="Calibri"/>
      <family val="2"/>
    </font>
    <font>
      <sz val="9"/>
      <color theme="1"/>
      <name val="Calibri"/>
      <family val="2"/>
    </font>
    <font>
      <b/>
      <sz val="9"/>
      <color theme="1"/>
      <name val="Calibri"/>
      <family val="2"/>
    </font>
    <font>
      <b/>
      <sz val="24"/>
      <color theme="0"/>
      <name val="Calibri"/>
      <family val="2"/>
    </font>
    <font>
      <u/>
      <sz val="11"/>
      <color theme="10"/>
      <name val="Calibri"/>
      <family val="2"/>
    </font>
    <font>
      <sz val="11"/>
      <color rgb="FFFF0000"/>
      <name val="Calibri"/>
      <family val="2"/>
      <scheme val="minor"/>
    </font>
    <font>
      <b/>
      <i/>
      <sz val="11"/>
      <color theme="1"/>
      <name val="Calibri"/>
      <family val="2"/>
      <scheme val="minor"/>
    </font>
    <font>
      <sz val="11"/>
      <color rgb="FFFF0000"/>
      <name val="Calibri"/>
      <family val="2"/>
    </font>
    <font>
      <b/>
      <sz val="12"/>
      <name val="Arial"/>
      <family val="2"/>
    </font>
    <font>
      <b/>
      <sz val="10"/>
      <name val="Arial"/>
      <family val="2"/>
    </font>
    <font>
      <sz val="12"/>
      <name val="Arial"/>
      <family val="2"/>
    </font>
    <font>
      <sz val="11"/>
      <name val="Calibri"/>
      <family val="2"/>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C6EFCE"/>
      </patternFill>
    </fill>
    <fill>
      <patternFill patternType="solid">
        <fgColor theme="8" tint="0.59999389629810485"/>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rgb="FFFFFFFF"/>
        <bgColor rgb="FF000000"/>
      </patternFill>
    </fill>
    <fill>
      <patternFill patternType="solid">
        <fgColor rgb="FFCCFFFF"/>
        <bgColor rgb="FF000000"/>
      </patternFill>
    </fill>
    <fill>
      <patternFill patternType="solid">
        <fgColor rgb="FFCCFFCC"/>
        <bgColor rgb="FF000000"/>
      </patternFill>
    </fill>
    <fill>
      <patternFill patternType="solid">
        <fgColor theme="0"/>
        <bgColor indexed="64"/>
      </patternFill>
    </fill>
  </fills>
  <borders count="5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right/>
      <top/>
      <bottom style="medium">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indexed="64"/>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indexed="64"/>
      </top>
      <bottom/>
      <diagonal/>
    </border>
    <border>
      <left style="thin">
        <color theme="0" tint="-0.249977111117893"/>
      </left>
      <right style="thin">
        <color theme="0" tint="-0.249977111117893"/>
      </right>
      <top style="thin">
        <color indexed="64"/>
      </top>
      <bottom/>
      <diagonal/>
    </border>
    <border>
      <left style="thin">
        <color theme="0" tint="-0.249977111117893"/>
      </left>
      <right style="thin">
        <color indexed="64"/>
      </right>
      <top style="thin">
        <color indexed="64"/>
      </top>
      <bottom/>
      <diagonal/>
    </border>
    <border>
      <left style="thin">
        <color indexed="64"/>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thin">
        <color theme="0"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0" tint="-0.249977111117893"/>
      </right>
      <top style="thin">
        <color theme="0" tint="-0.249977111117893"/>
      </top>
      <bottom style="thin">
        <color indexed="64"/>
      </bottom>
      <diagonal/>
    </border>
    <border>
      <left style="thin">
        <color indexed="64"/>
      </left>
      <right style="thin">
        <color theme="0" tint="-0.249977111117893"/>
      </right>
      <top/>
      <bottom style="thin">
        <color indexed="64"/>
      </bottom>
      <diagonal/>
    </border>
    <border>
      <left style="thin">
        <color theme="0" tint="-0.249977111117893"/>
      </left>
      <right style="thin">
        <color theme="0" tint="-0.249977111117893"/>
      </right>
      <top/>
      <bottom style="thin">
        <color indexed="64"/>
      </bottom>
      <diagonal/>
    </border>
    <border>
      <left/>
      <right style="thin">
        <color indexed="64"/>
      </right>
      <top style="thin">
        <color theme="0" tint="-0.249977111117893"/>
      </top>
      <bottom style="thin">
        <color indexed="64"/>
      </bottom>
      <diagonal/>
    </border>
    <border>
      <left/>
      <right/>
      <top style="thin">
        <color indexed="64"/>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indexed="64"/>
      </top>
      <bottom style="thin">
        <color indexed="64"/>
      </bottom>
      <diagonal/>
    </border>
    <border>
      <left style="thin">
        <color indexed="64"/>
      </left>
      <right/>
      <top style="thin">
        <color indexed="64"/>
      </top>
      <bottom style="thin">
        <color theme="0" tint="-0.249977111117893"/>
      </bottom>
      <diagonal/>
    </border>
    <border>
      <left style="thin">
        <color theme="0" tint="-0.249977111117893"/>
      </left>
      <right style="thin">
        <color indexed="64"/>
      </right>
      <top/>
      <bottom style="thin">
        <color indexed="64"/>
      </bottom>
      <diagonal/>
    </border>
    <border>
      <left style="thin">
        <color theme="0" tint="-0.249977111117893"/>
      </left>
      <right/>
      <top style="thin">
        <color indexed="64"/>
      </top>
      <bottom/>
      <diagonal/>
    </border>
    <border>
      <left style="thin">
        <color theme="0" tint="-0.249977111117893"/>
      </left>
      <right/>
      <top/>
      <bottom style="thin">
        <color indexed="64"/>
      </bottom>
      <diagonal/>
    </border>
    <border>
      <left style="thin">
        <color theme="0" tint="-0.249977111117893"/>
      </left>
      <right/>
      <top/>
      <bottom/>
      <diagonal/>
    </border>
    <border>
      <left style="thin">
        <color indexed="64"/>
      </left>
      <right style="thin">
        <color indexed="64"/>
      </right>
      <top style="thin">
        <color indexed="64"/>
      </top>
      <bottom style="thin">
        <color indexed="64"/>
      </bottom>
      <diagonal/>
    </border>
    <border>
      <left style="thin">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tint="-0.249977111117893"/>
      </bottom>
      <diagonal/>
    </border>
    <border>
      <left/>
      <right style="thin">
        <color theme="0" tint="-0.249977111117893"/>
      </right>
      <top/>
      <bottom style="thin">
        <color theme="0"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164" fontId="4" fillId="0" borderId="0" applyFont="0" applyFill="0" applyBorder="0" applyAlignment="0" applyProtection="0"/>
    <xf numFmtId="44" fontId="1"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9" fillId="6" borderId="0" applyNumberFormat="0" applyBorder="0" applyAlignment="0" applyProtection="0"/>
    <xf numFmtId="164" fontId="11" fillId="0" borderId="0" applyFont="0" applyFill="0" applyBorder="0" applyAlignment="0" applyProtection="0"/>
    <xf numFmtId="0" fontId="17" fillId="0" borderId="0" applyNumberFormat="0" applyFill="0" applyBorder="0" applyAlignment="0" applyProtection="0"/>
    <xf numFmtId="0" fontId="11" fillId="0" borderId="0"/>
  </cellStyleXfs>
  <cellXfs count="384">
    <xf numFmtId="0" fontId="0" fillId="0" borderId="0" xfId="0"/>
    <xf numFmtId="165" fontId="0" fillId="0" borderId="0" xfId="1" applyNumberFormat="1" applyFont="1"/>
    <xf numFmtId="165" fontId="0" fillId="0" borderId="0" xfId="0" applyNumberFormat="1"/>
    <xf numFmtId="0" fontId="0" fillId="0" borderId="1" xfId="0" applyBorder="1"/>
    <xf numFmtId="0" fontId="2" fillId="2" borderId="1" xfId="0" applyFont="1" applyFill="1" applyBorder="1"/>
    <xf numFmtId="165" fontId="0" fillId="0" borderId="1" xfId="1" applyNumberFormat="1" applyFont="1" applyBorder="1"/>
    <xf numFmtId="165" fontId="0" fillId="0" borderId="1" xfId="0" applyNumberFormat="1" applyBorder="1"/>
    <xf numFmtId="166" fontId="0" fillId="0" borderId="1" xfId="1" applyNumberFormat="1" applyFont="1" applyBorder="1"/>
    <xf numFmtId="0" fontId="2" fillId="2" borderId="3" xfId="0" applyFont="1" applyFill="1" applyBorder="1" applyAlignment="1">
      <alignment wrapText="1"/>
    </xf>
    <xf numFmtId="165" fontId="0" fillId="0" borderId="3" xfId="0" applyNumberFormat="1" applyBorder="1"/>
    <xf numFmtId="0" fontId="0" fillId="0" borderId="3" xfId="0" applyBorder="1"/>
    <xf numFmtId="0" fontId="0" fillId="0" borderId="7" xfId="0" applyBorder="1"/>
    <xf numFmtId="0" fontId="0" fillId="0" borderId="8" xfId="0" applyBorder="1"/>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165" fontId="0" fillId="0" borderId="3" xfId="1" applyNumberFormat="1" applyFont="1" applyBorder="1"/>
    <xf numFmtId="165" fontId="0" fillId="0" borderId="5" xfId="1" applyNumberFormat="1" applyFont="1" applyBorder="1"/>
    <xf numFmtId="165" fontId="0" fillId="0" borderId="6" xfId="1" applyNumberFormat="1" applyFont="1" applyBorder="1"/>
    <xf numFmtId="0" fontId="0" fillId="0" borderId="15" xfId="0" applyBorder="1"/>
    <xf numFmtId="165" fontId="0" fillId="0" borderId="14" xfId="1" applyNumberFormat="1" applyFont="1" applyBorder="1"/>
    <xf numFmtId="165" fontId="0" fillId="0" borderId="15" xfId="0" applyNumberFormat="1" applyBorder="1"/>
    <xf numFmtId="0" fontId="0" fillId="0" borderId="2" xfId="0" applyBorder="1" applyAlignment="1">
      <alignment horizontal="left"/>
    </xf>
    <xf numFmtId="0" fontId="0" fillId="0" borderId="13" xfId="0" applyBorder="1" applyAlignment="1">
      <alignment horizontal="left"/>
    </xf>
    <xf numFmtId="0" fontId="3" fillId="0" borderId="0" xfId="0" applyFont="1" applyBorder="1"/>
    <xf numFmtId="0" fontId="0" fillId="0" borderId="0" xfId="0" applyBorder="1"/>
    <xf numFmtId="0" fontId="3" fillId="0" borderId="16" xfId="0" applyFont="1" applyBorder="1"/>
    <xf numFmtId="0" fontId="0" fillId="0" borderId="16" xfId="0" applyBorder="1"/>
    <xf numFmtId="0" fontId="0" fillId="0" borderId="0" xfId="0" applyAlignment="1">
      <alignment vertical="center"/>
    </xf>
    <xf numFmtId="167" fontId="0" fillId="0" borderId="1" xfId="2" applyNumberFormat="1" applyFont="1" applyBorder="1"/>
    <xf numFmtId="165" fontId="0" fillId="0" borderId="1" xfId="1" applyNumberFormat="1" applyFont="1" applyFill="1" applyBorder="1"/>
    <xf numFmtId="168" fontId="0" fillId="0" borderId="1" xfId="2" applyNumberFormat="1" applyFont="1" applyBorder="1"/>
    <xf numFmtId="0" fontId="0" fillId="0" borderId="2" xfId="0" applyBorder="1"/>
    <xf numFmtId="0" fontId="2" fillId="3" borderId="2" xfId="0" applyFont="1" applyFill="1" applyBorder="1"/>
    <xf numFmtId="0" fontId="0" fillId="0" borderId="4" xfId="0" applyBorder="1"/>
    <xf numFmtId="165" fontId="0" fillId="0" borderId="5" xfId="0" applyNumberFormat="1" applyBorder="1"/>
    <xf numFmtId="165" fontId="0" fillId="0" borderId="6" xfId="0" applyNumberFormat="1" applyBorder="1"/>
    <xf numFmtId="165" fontId="0" fillId="0" borderId="8" xfId="1" applyNumberFormat="1" applyFont="1" applyBorder="1"/>
    <xf numFmtId="165" fontId="0" fillId="0" borderId="9" xfId="1" applyNumberFormat="1" applyFont="1" applyBorder="1"/>
    <xf numFmtId="0" fontId="0" fillId="0" borderId="21" xfId="0" applyBorder="1"/>
    <xf numFmtId="0" fontId="2" fillId="3" borderId="10" xfId="0" applyFont="1" applyFill="1" applyBorder="1" applyAlignment="1">
      <alignment horizontal="center" vertical="center" wrapText="1"/>
    </xf>
    <xf numFmtId="165" fontId="0" fillId="0" borderId="2" xfId="1" applyNumberFormat="1" applyFont="1" applyBorder="1"/>
    <xf numFmtId="0" fontId="0" fillId="0" borderId="14" xfId="0" applyBorder="1"/>
    <xf numFmtId="165" fontId="0" fillId="0" borderId="18" xfId="0" applyNumberFormat="1" applyBorder="1"/>
    <xf numFmtId="165" fontId="0" fillId="0" borderId="19" xfId="0" applyNumberFormat="1" applyBorder="1"/>
    <xf numFmtId="166" fontId="0" fillId="0" borderId="3" xfId="1" applyNumberFormat="1" applyFont="1" applyBorder="1"/>
    <xf numFmtId="0" fontId="0" fillId="0" borderId="5" xfId="0" applyBorder="1"/>
    <xf numFmtId="166" fontId="0" fillId="0" borderId="6" xfId="0" applyNumberFormat="1" applyBorder="1"/>
    <xf numFmtId="165" fontId="0" fillId="0" borderId="8" xfId="0" applyNumberFormat="1" applyBorder="1"/>
    <xf numFmtId="0" fontId="3" fillId="2" borderId="2" xfId="0" applyFont="1" applyFill="1" applyBorder="1"/>
    <xf numFmtId="0" fontId="2" fillId="3" borderId="10" xfId="0" applyFont="1" applyFill="1" applyBorder="1" applyAlignment="1">
      <alignment horizontal="left"/>
    </xf>
    <xf numFmtId="165" fontId="2" fillId="3" borderId="11" xfId="0" applyNumberFormat="1" applyFont="1" applyFill="1" applyBorder="1"/>
    <xf numFmtId="166" fontId="2" fillId="3" borderId="11" xfId="1" applyNumberFormat="1" applyFont="1" applyFill="1" applyBorder="1"/>
    <xf numFmtId="0" fontId="2" fillId="3" borderId="12" xfId="0" applyFont="1" applyFill="1" applyBorder="1"/>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165" fontId="0" fillId="0" borderId="0" xfId="1" applyNumberFormat="1" applyFont="1" applyBorder="1"/>
    <xf numFmtId="165" fontId="3" fillId="0" borderId="0" xfId="1" applyNumberFormat="1" applyFont="1" applyBorder="1"/>
    <xf numFmtId="165" fontId="3" fillId="0" borderId="16" xfId="1" applyNumberFormat="1" applyFont="1" applyBorder="1"/>
    <xf numFmtId="165" fontId="0" fillId="0" borderId="16" xfId="1" applyNumberFormat="1" applyFont="1" applyBorder="1"/>
    <xf numFmtId="0" fontId="0" fillId="0" borderId="2" xfId="0" applyFill="1" applyBorder="1" applyAlignment="1">
      <alignment horizontal="left"/>
    </xf>
    <xf numFmtId="0" fontId="0" fillId="0" borderId="13" xfId="0" applyFill="1" applyBorder="1" applyAlignment="1">
      <alignment horizontal="left"/>
    </xf>
    <xf numFmtId="10" fontId="0" fillId="0" borderId="1" xfId="1" applyNumberFormat="1" applyFont="1" applyBorder="1"/>
    <xf numFmtId="165" fontId="6" fillId="0" borderId="1" xfId="1" applyNumberFormat="1" applyFont="1" applyBorder="1"/>
    <xf numFmtId="43" fontId="0" fillId="0" borderId="1" xfId="1" applyNumberFormat="1" applyFont="1" applyBorder="1"/>
    <xf numFmtId="0" fontId="5" fillId="3" borderId="1" xfId="0" applyFont="1" applyFill="1" applyBorder="1" applyAlignment="1">
      <alignment horizontal="center" vertical="center"/>
    </xf>
    <xf numFmtId="165" fontId="5" fillId="3" borderId="1" xfId="1" applyNumberFormat="1" applyFont="1" applyFill="1" applyBorder="1" applyAlignment="1">
      <alignment horizontal="center" vertical="center"/>
    </xf>
    <xf numFmtId="165" fontId="0" fillId="0" borderId="1" xfId="0" applyNumberFormat="1" applyFill="1" applyBorder="1" applyAlignment="1">
      <alignment vertical="center"/>
    </xf>
    <xf numFmtId="43" fontId="0" fillId="0" borderId="0" xfId="0" applyNumberFormat="1"/>
    <xf numFmtId="10" fontId="0" fillId="0" borderId="1" xfId="2" applyNumberFormat="1" applyFont="1" applyBorder="1"/>
    <xf numFmtId="165" fontId="2" fillId="3" borderId="1" xfId="1" applyNumberFormat="1" applyFont="1" applyFill="1" applyBorder="1" applyAlignment="1">
      <alignment horizontal="center" vertical="center"/>
    </xf>
    <xf numFmtId="10" fontId="0" fillId="0" borderId="1" xfId="0" applyNumberFormat="1" applyBorder="1"/>
    <xf numFmtId="0" fontId="0" fillId="0" borderId="7"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7" xfId="0" applyBorder="1" applyAlignment="1">
      <alignment horizontal="left"/>
    </xf>
    <xf numFmtId="165" fontId="0" fillId="0" borderId="3" xfId="1" applyNumberFormat="1" applyFont="1" applyFill="1" applyBorder="1"/>
    <xf numFmtId="0" fontId="0" fillId="0" borderId="0" xfId="0" applyFill="1"/>
    <xf numFmtId="0" fontId="0" fillId="0" borderId="4" xfId="0" applyFill="1" applyBorder="1" applyAlignment="1">
      <alignment horizontal="left"/>
    </xf>
    <xf numFmtId="165" fontId="0" fillId="0" borderId="5" xfId="1" applyNumberFormat="1" applyFont="1" applyFill="1" applyBorder="1"/>
    <xf numFmtId="165" fontId="0" fillId="0" borderId="6" xfId="1" applyNumberFormat="1" applyFont="1" applyFill="1" applyBorder="1"/>
    <xf numFmtId="167" fontId="0" fillId="0" borderId="3" xfId="0" applyNumberFormat="1" applyBorder="1"/>
    <xf numFmtId="165" fontId="0" fillId="0" borderId="5" xfId="0" applyNumberFormat="1" applyFill="1" applyBorder="1" applyAlignment="1">
      <alignment vertical="center"/>
    </xf>
    <xf numFmtId="165" fontId="0" fillId="0" borderId="6" xfId="0" applyNumberFormat="1" applyFill="1" applyBorder="1" applyAlignment="1">
      <alignment vertical="center"/>
    </xf>
    <xf numFmtId="165" fontId="0" fillId="0" borderId="18" xfId="1" applyNumberFormat="1" applyFont="1" applyBorder="1"/>
    <xf numFmtId="0" fontId="2" fillId="3" borderId="10" xfId="0" applyFont="1" applyFill="1" applyBorder="1"/>
    <xf numFmtId="10" fontId="2" fillId="3" borderId="11" xfId="1" applyNumberFormat="1" applyFont="1" applyFill="1" applyBorder="1"/>
    <xf numFmtId="165" fontId="0" fillId="0" borderId="9" xfId="0" applyNumberFormat="1" applyBorder="1"/>
    <xf numFmtId="167" fontId="0" fillId="0" borderId="18" xfId="2" applyNumberFormat="1" applyFont="1" applyBorder="1"/>
    <xf numFmtId="167" fontId="0" fillId="0" borderId="19" xfId="0" applyNumberFormat="1" applyBorder="1"/>
    <xf numFmtId="165" fontId="0" fillId="0" borderId="18" xfId="1" applyNumberFormat="1" applyFont="1" applyBorder="1" applyAlignment="1">
      <alignment vertical="center"/>
    </xf>
    <xf numFmtId="165" fontId="0" fillId="0" borderId="19" xfId="1" applyNumberFormat="1" applyFont="1" applyBorder="1" applyAlignment="1">
      <alignment vertical="center"/>
    </xf>
    <xf numFmtId="165" fontId="0" fillId="0" borderId="5" xfId="1" applyNumberFormat="1" applyFont="1" applyBorder="1" applyAlignment="1">
      <alignment vertical="center"/>
    </xf>
    <xf numFmtId="165" fontId="0" fillId="0" borderId="6" xfId="1" applyNumberFormat="1" applyFont="1" applyBorder="1" applyAlignment="1">
      <alignment vertical="center"/>
    </xf>
    <xf numFmtId="165" fontId="0" fillId="0" borderId="19" xfId="1" applyNumberFormat="1" applyFont="1" applyBorder="1"/>
    <xf numFmtId="165" fontId="0" fillId="0" borderId="19" xfId="0" applyNumberFormat="1" applyFill="1" applyBorder="1" applyAlignment="1">
      <alignment vertical="center"/>
    </xf>
    <xf numFmtId="0" fontId="10" fillId="0" borderId="16" xfId="3" applyFont="1" applyBorder="1"/>
    <xf numFmtId="170" fontId="0" fillId="0" borderId="1" xfId="0" applyNumberFormat="1" applyBorder="1"/>
    <xf numFmtId="171" fontId="0" fillId="0" borderId="3" xfId="0" applyNumberFormat="1" applyBorder="1"/>
    <xf numFmtId="170" fontId="0" fillId="0" borderId="14" xfId="0" applyNumberFormat="1" applyBorder="1"/>
    <xf numFmtId="165" fontId="2" fillId="0" borderId="11" xfId="1" applyNumberFormat="1" applyFont="1" applyBorder="1"/>
    <xf numFmtId="171" fontId="0" fillId="0" borderId="0" xfId="0" applyNumberFormat="1"/>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xf numFmtId="0" fontId="0" fillId="3" borderId="10" xfId="0" applyFill="1" applyBorder="1" applyAlignment="1">
      <alignment horizontal="center" vertical="center" wrapText="1"/>
    </xf>
    <xf numFmtId="0" fontId="2" fillId="3" borderId="11" xfId="0" applyFont="1" applyFill="1" applyBorder="1"/>
    <xf numFmtId="165" fontId="2" fillId="3" borderId="11" xfId="1" applyNumberFormat="1" applyFont="1" applyFill="1" applyBorder="1"/>
    <xf numFmtId="165" fontId="2" fillId="3" borderId="12" xfId="1" applyNumberFormat="1" applyFont="1" applyFill="1" applyBorder="1"/>
    <xf numFmtId="0" fontId="0" fillId="0" borderId="8" xfId="0" applyFont="1" applyBorder="1"/>
    <xf numFmtId="10" fontId="1" fillId="0" borderId="8" xfId="2" applyNumberFormat="1" applyFont="1" applyBorder="1"/>
    <xf numFmtId="10" fontId="1" fillId="0" borderId="9" xfId="2" applyNumberFormat="1" applyFont="1" applyBorder="1"/>
    <xf numFmtId="0" fontId="0" fillId="0" borderId="14" xfId="0" applyFill="1" applyBorder="1"/>
    <xf numFmtId="170" fontId="0" fillId="0" borderId="15" xfId="0" applyNumberFormat="1" applyBorder="1"/>
    <xf numFmtId="170" fontId="2" fillId="5" borderId="11" xfId="0" applyNumberFormat="1" applyFont="1" applyFill="1" applyBorder="1"/>
    <xf numFmtId="170" fontId="2" fillId="5" borderId="12" xfId="0" applyNumberFormat="1" applyFont="1" applyFill="1" applyBorder="1"/>
    <xf numFmtId="0" fontId="0" fillId="0" borderId="8" xfId="0" applyBorder="1" applyAlignment="1">
      <alignment vertical="center" wrapText="1"/>
    </xf>
    <xf numFmtId="172" fontId="0" fillId="0" borderId="8" xfId="0" applyNumberFormat="1" applyBorder="1" applyAlignment="1">
      <alignment vertical="center"/>
    </xf>
    <xf numFmtId="172" fontId="0" fillId="0" borderId="9" xfId="0" applyNumberFormat="1" applyBorder="1" applyAlignment="1">
      <alignment vertical="center"/>
    </xf>
    <xf numFmtId="0" fontId="0" fillId="0" borderId="1" xfId="0" applyBorder="1" applyAlignment="1">
      <alignment vertical="center" wrapText="1"/>
    </xf>
    <xf numFmtId="172" fontId="0" fillId="0" borderId="1" xfId="0" applyNumberFormat="1" applyBorder="1" applyAlignment="1">
      <alignment vertical="center"/>
    </xf>
    <xf numFmtId="172" fontId="0" fillId="0" borderId="3" xfId="0" applyNumberFormat="1" applyBorder="1" applyAlignment="1">
      <alignment vertical="center"/>
    </xf>
    <xf numFmtId="0" fontId="0" fillId="0" borderId="14" xfId="0" applyBorder="1" applyAlignment="1">
      <alignment vertical="center" wrapText="1"/>
    </xf>
    <xf numFmtId="172" fontId="0" fillId="0" borderId="14" xfId="0" applyNumberFormat="1" applyBorder="1" applyAlignment="1">
      <alignment vertical="center"/>
    </xf>
    <xf numFmtId="172" fontId="0" fillId="0" borderId="15" xfId="0" applyNumberFormat="1" applyBorder="1" applyAlignment="1">
      <alignment vertical="center"/>
    </xf>
    <xf numFmtId="0" fontId="2" fillId="5" borderId="11" xfId="0" applyFont="1" applyFill="1" applyBorder="1" applyAlignment="1">
      <alignment vertical="center"/>
    </xf>
    <xf numFmtId="172" fontId="2" fillId="5" borderId="11" xfId="0" applyNumberFormat="1" applyFont="1" applyFill="1" applyBorder="1" applyAlignment="1">
      <alignment vertical="center"/>
    </xf>
    <xf numFmtId="172" fontId="2" fillId="5" borderId="12" xfId="0" applyNumberFormat="1" applyFont="1" applyFill="1" applyBorder="1" applyAlignment="1">
      <alignment vertical="center"/>
    </xf>
    <xf numFmtId="0" fontId="0" fillId="0" borderId="0" xfId="0" applyAlignment="1">
      <alignment horizontal="center"/>
    </xf>
    <xf numFmtId="0" fontId="0" fillId="0" borderId="1" xfId="0" applyBorder="1" applyAlignment="1">
      <alignment horizontal="left" indent="2"/>
    </xf>
    <xf numFmtId="0" fontId="0" fillId="2" borderId="17" xfId="0" applyFill="1" applyBorder="1" applyAlignment="1">
      <alignment horizontal="center"/>
    </xf>
    <xf numFmtId="0" fontId="12" fillId="2" borderId="18" xfId="0" applyFont="1" applyFill="1" applyBorder="1"/>
    <xf numFmtId="0" fontId="0" fillId="2" borderId="18" xfId="0" applyFill="1" applyBorder="1"/>
    <xf numFmtId="0" fontId="0" fillId="2" borderId="19" xfId="0" applyFill="1" applyBorder="1"/>
    <xf numFmtId="0" fontId="2" fillId="0" borderId="10" xfId="0" applyFont="1" applyBorder="1" applyAlignment="1">
      <alignment horizontal="center"/>
    </xf>
    <xf numFmtId="0" fontId="2" fillId="3" borderId="10" xfId="0" applyFont="1" applyFill="1" applyBorder="1" applyAlignment="1">
      <alignment horizontal="center"/>
    </xf>
    <xf numFmtId="171" fontId="2" fillId="3" borderId="12" xfId="0" applyNumberFormat="1" applyFont="1" applyFill="1" applyBorder="1"/>
    <xf numFmtId="165" fontId="2" fillId="3" borderId="5" xfId="1" applyNumberFormat="1" applyFont="1" applyFill="1" applyBorder="1" applyAlignment="1">
      <alignment horizontal="center" vertical="center" wrapText="1"/>
    </xf>
    <xf numFmtId="0" fontId="2" fillId="3" borderId="5" xfId="0" applyFont="1" applyFill="1" applyBorder="1" applyAlignment="1">
      <alignment horizontal="center" vertical="center" wrapText="1"/>
    </xf>
    <xf numFmtId="170" fontId="2" fillId="3" borderId="5" xfId="0" applyNumberFormat="1" applyFont="1" applyFill="1" applyBorder="1" applyAlignment="1">
      <alignment horizontal="center" vertical="center" wrapText="1"/>
    </xf>
    <xf numFmtId="171" fontId="2" fillId="3" borderId="6" xfId="0" applyNumberFormat="1" applyFont="1" applyFill="1" applyBorder="1" applyAlignment="1">
      <alignment horizontal="center" vertical="center" wrapText="1"/>
    </xf>
    <xf numFmtId="0" fontId="7" fillId="2" borderId="23" xfId="0" applyFont="1" applyFill="1" applyBorder="1"/>
    <xf numFmtId="0" fontId="2" fillId="3" borderId="20" xfId="0" applyFont="1" applyFill="1" applyBorder="1"/>
    <xf numFmtId="165" fontId="2" fillId="3" borderId="4" xfId="1" applyNumberFormat="1" applyFont="1" applyFill="1" applyBorder="1" applyAlignment="1">
      <alignment horizontal="center" vertical="center" wrapText="1"/>
    </xf>
    <xf numFmtId="165" fontId="0" fillId="2" borderId="17" xfId="1" applyNumberFormat="1" applyFont="1" applyFill="1" applyBorder="1"/>
    <xf numFmtId="165" fontId="2" fillId="3" borderId="10" xfId="1" applyNumberFormat="1" applyFont="1" applyFill="1" applyBorder="1"/>
    <xf numFmtId="0" fontId="2" fillId="3" borderId="4" xfId="0" applyFont="1" applyFill="1" applyBorder="1" applyAlignment="1">
      <alignment horizontal="center" vertical="center" wrapText="1"/>
    </xf>
    <xf numFmtId="0" fontId="0" fillId="2" borderId="17" xfId="0" applyFill="1" applyBorder="1"/>
    <xf numFmtId="0" fontId="5" fillId="7" borderId="10" xfId="0" applyFont="1" applyFill="1" applyBorder="1" applyAlignment="1">
      <alignment horizontal="center"/>
    </xf>
    <xf numFmtId="0" fontId="5" fillId="7" borderId="11" xfId="0" applyFont="1" applyFill="1" applyBorder="1"/>
    <xf numFmtId="165" fontId="5" fillId="7" borderId="11" xfId="1" applyNumberFormat="1" applyFont="1" applyFill="1" applyBorder="1"/>
    <xf numFmtId="171" fontId="5" fillId="7" borderId="11" xfId="0" applyNumberFormat="1" applyFont="1" applyFill="1" applyBorder="1"/>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170" fontId="0" fillId="0" borderId="5" xfId="0" applyNumberFormat="1" applyBorder="1"/>
    <xf numFmtId="170" fontId="0" fillId="0" borderId="6" xfId="0" applyNumberFormat="1" applyBorder="1"/>
    <xf numFmtId="170" fontId="0" fillId="0" borderId="8" xfId="0" applyNumberFormat="1" applyBorder="1"/>
    <xf numFmtId="170" fontId="0" fillId="0" borderId="9" xfId="0" applyNumberFormat="1" applyBorder="1"/>
    <xf numFmtId="0" fontId="2" fillId="3" borderId="5" xfId="0" applyFont="1" applyFill="1" applyBorder="1" applyAlignment="1">
      <alignment horizontal="center" vertical="center"/>
    </xf>
    <xf numFmtId="166" fontId="0" fillId="0" borderId="8" xfId="1" applyNumberFormat="1" applyFont="1" applyBorder="1"/>
    <xf numFmtId="166" fontId="0" fillId="0" borderId="5" xfId="1" applyNumberFormat="1" applyFont="1" applyBorder="1"/>
    <xf numFmtId="166" fontId="0" fillId="0" borderId="6" xfId="1" applyNumberFormat="1" applyFont="1" applyBorder="1"/>
    <xf numFmtId="165" fontId="2" fillId="0" borderId="12" xfId="1" applyNumberFormat="1" applyFont="1" applyBorder="1"/>
    <xf numFmtId="0" fontId="2" fillId="3" borderId="6" xfId="0" applyFont="1" applyFill="1" applyBorder="1" applyAlignment="1">
      <alignment horizontal="center" vertical="center"/>
    </xf>
    <xf numFmtId="173" fontId="0" fillId="0" borderId="0" xfId="5" applyNumberFormat="1" applyFont="1"/>
    <xf numFmtId="0" fontId="13" fillId="3" borderId="10" xfId="0" applyFont="1" applyFill="1" applyBorder="1"/>
    <xf numFmtId="0" fontId="0" fillId="0" borderId="17" xfId="0" applyBorder="1" applyAlignment="1">
      <alignment horizontal="left" vertical="center" wrapText="1"/>
    </xf>
    <xf numFmtId="167" fontId="0" fillId="0" borderId="18" xfId="2" applyNumberFormat="1" applyFont="1" applyBorder="1" applyAlignment="1">
      <alignment vertical="center"/>
    </xf>
    <xf numFmtId="167" fontId="0" fillId="0" borderId="18" xfId="2" applyNumberFormat="1" applyFont="1" applyFill="1" applyBorder="1" applyAlignment="1">
      <alignment vertical="center"/>
    </xf>
    <xf numFmtId="167" fontId="0" fillId="0" borderId="19" xfId="0" applyNumberFormat="1" applyBorder="1" applyAlignment="1">
      <alignment vertical="center"/>
    </xf>
    <xf numFmtId="0" fontId="14" fillId="0" borderId="17" xfId="0" applyFont="1" applyBorder="1" applyAlignment="1">
      <alignment vertical="center"/>
    </xf>
    <xf numFmtId="0" fontId="0" fillId="0" borderId="2" xfId="0" applyFill="1" applyBorder="1" applyAlignment="1">
      <alignment horizontal="left" vertical="center"/>
    </xf>
    <xf numFmtId="165" fontId="0" fillId="0" borderId="3" xfId="0" applyNumberFormat="1" applyFill="1" applyBorder="1" applyAlignment="1">
      <alignment vertical="center"/>
    </xf>
    <xf numFmtId="0" fontId="0" fillId="0" borderId="4" xfId="0" applyFill="1" applyBorder="1" applyAlignment="1">
      <alignment horizontal="left" vertical="center"/>
    </xf>
    <xf numFmtId="0" fontId="2" fillId="2" borderId="18" xfId="0" applyFont="1" applyFill="1" applyBorder="1"/>
    <xf numFmtId="168" fontId="2" fillId="3" borderId="11" xfId="2" applyNumberFormat="1" applyFont="1" applyFill="1" applyBorder="1"/>
    <xf numFmtId="0" fontId="2" fillId="3" borderId="5" xfId="0" applyFont="1" applyFill="1" applyBorder="1" applyAlignment="1">
      <alignment horizontal="center" vertical="center"/>
    </xf>
    <xf numFmtId="0" fontId="2" fillId="0" borderId="20" xfId="0" applyFont="1" applyBorder="1"/>
    <xf numFmtId="0" fontId="2" fillId="3" borderId="34" xfId="0" applyFont="1" applyFill="1" applyBorder="1" applyAlignment="1">
      <alignment horizontal="center" vertical="center"/>
    </xf>
    <xf numFmtId="165" fontId="0" fillId="0" borderId="39" xfId="1" applyNumberFormat="1" applyFont="1" applyBorder="1"/>
    <xf numFmtId="165" fontId="2" fillId="0" borderId="40" xfId="1" applyNumberFormat="1" applyFont="1" applyBorder="1"/>
    <xf numFmtId="0" fontId="2" fillId="3" borderId="4" xfId="0" applyFont="1" applyFill="1" applyBorder="1" applyAlignment="1">
      <alignment horizontal="center" vertical="center"/>
    </xf>
    <xf numFmtId="165" fontId="2" fillId="0" borderId="10" xfId="1" applyNumberFormat="1" applyFont="1" applyBorder="1"/>
    <xf numFmtId="0" fontId="2" fillId="2" borderId="19" xfId="0" applyFont="1" applyFill="1" applyBorder="1"/>
    <xf numFmtId="0" fontId="8" fillId="2" borderId="18" xfId="3" applyFont="1" applyFill="1" applyBorder="1"/>
    <xf numFmtId="0" fontId="15" fillId="3" borderId="10" xfId="0" applyFont="1" applyFill="1" applyBorder="1" applyAlignment="1">
      <alignment horizontal="left"/>
    </xf>
    <xf numFmtId="172" fontId="0" fillId="0" borderId="0" xfId="0" applyNumberFormat="1"/>
    <xf numFmtId="0" fontId="2" fillId="2" borderId="17" xfId="0" applyFont="1" applyFill="1" applyBorder="1" applyAlignment="1">
      <alignment horizontal="center"/>
    </xf>
    <xf numFmtId="0" fontId="8" fillId="3" borderId="11" xfId="3" applyFont="1" applyFill="1" applyBorder="1"/>
    <xf numFmtId="0" fontId="2" fillId="4" borderId="35" xfId="0" applyFont="1" applyFill="1" applyBorder="1" applyAlignment="1">
      <alignment horizontal="center" vertical="center"/>
    </xf>
    <xf numFmtId="0" fontId="2" fillId="4" borderId="36" xfId="0" applyFont="1" applyFill="1" applyBorder="1" applyAlignment="1">
      <alignment vertical="center"/>
    </xf>
    <xf numFmtId="165" fontId="2" fillId="4" borderId="36" xfId="1" applyNumberFormat="1" applyFont="1" applyFill="1" applyBorder="1" applyAlignment="1">
      <alignment vertical="center"/>
    </xf>
    <xf numFmtId="165" fontId="2" fillId="2" borderId="18" xfId="1" applyNumberFormat="1" applyFont="1" applyFill="1" applyBorder="1"/>
    <xf numFmtId="0" fontId="2" fillId="2" borderId="23" xfId="0" applyFont="1" applyFill="1" applyBorder="1"/>
    <xf numFmtId="0" fontId="8" fillId="3" borderId="20" xfId="3" applyFont="1" applyFill="1" applyBorder="1"/>
    <xf numFmtId="0" fontId="8" fillId="2" borderId="23" xfId="3" applyFont="1" applyFill="1" applyBorder="1"/>
    <xf numFmtId="0" fontId="2" fillId="4" borderId="44" xfId="0" applyFont="1" applyFill="1" applyBorder="1" applyAlignment="1">
      <alignment vertical="center"/>
    </xf>
    <xf numFmtId="0" fontId="2" fillId="2" borderId="17" xfId="0" applyFont="1" applyFill="1" applyBorder="1"/>
    <xf numFmtId="165" fontId="2" fillId="2" borderId="17" xfId="1" applyNumberFormat="1" applyFont="1" applyFill="1" applyBorder="1"/>
    <xf numFmtId="165" fontId="2" fillId="2" borderId="19" xfId="1" applyNumberFormat="1" applyFont="1" applyFill="1" applyBorder="1"/>
    <xf numFmtId="165" fontId="2" fillId="4" borderId="35" xfId="1" applyNumberFormat="1" applyFont="1" applyFill="1" applyBorder="1" applyAlignment="1">
      <alignment vertical="center"/>
    </xf>
    <xf numFmtId="165" fontId="2" fillId="4" borderId="42" xfId="1" applyNumberFormat="1" applyFont="1" applyFill="1" applyBorder="1" applyAlignment="1">
      <alignment vertical="center"/>
    </xf>
    <xf numFmtId="0" fontId="3" fillId="0" borderId="16" xfId="0" applyFont="1" applyBorder="1" applyAlignment="1">
      <alignment horizontal="left"/>
    </xf>
    <xf numFmtId="0" fontId="7" fillId="8" borderId="27" xfId="0" applyFont="1" applyFill="1" applyBorder="1" applyAlignment="1">
      <alignment horizontal="center" vertical="center"/>
    </xf>
    <xf numFmtId="0" fontId="7" fillId="8" borderId="45" xfId="0" applyFont="1" applyFill="1" applyBorder="1" applyAlignment="1">
      <alignment vertical="center"/>
    </xf>
    <xf numFmtId="165" fontId="7" fillId="8" borderId="27" xfId="1" applyNumberFormat="1" applyFont="1" applyFill="1" applyBorder="1" applyAlignment="1">
      <alignment vertical="center"/>
    </xf>
    <xf numFmtId="165" fontId="7" fillId="8" borderId="28" xfId="1" applyNumberFormat="1" applyFont="1" applyFill="1" applyBorder="1" applyAlignment="1">
      <alignment vertical="center"/>
    </xf>
    <xf numFmtId="165" fontId="7" fillId="8" borderId="29" xfId="1" applyNumberFormat="1" applyFont="1" applyFill="1" applyBorder="1" applyAlignment="1">
      <alignment vertical="center"/>
    </xf>
    <xf numFmtId="0" fontId="16" fillId="8" borderId="28" xfId="0" applyFont="1" applyFill="1" applyBorder="1" applyAlignment="1">
      <alignment horizontal="left" vertical="center"/>
    </xf>
    <xf numFmtId="0" fontId="17" fillId="0" borderId="0" xfId="10"/>
    <xf numFmtId="0" fontId="2" fillId="3" borderId="4" xfId="0" applyFont="1" applyFill="1" applyBorder="1" applyAlignment="1">
      <alignment horizontal="center" vertical="center"/>
    </xf>
    <xf numFmtId="0" fontId="0" fillId="0" borderId="47" xfId="0" applyBorder="1" applyAlignment="1">
      <alignment horizontal="center"/>
    </xf>
    <xf numFmtId="0" fontId="2" fillId="0" borderId="32" xfId="0" applyFont="1" applyBorder="1" applyAlignment="1">
      <alignment horizontal="center"/>
    </xf>
    <xf numFmtId="0" fontId="2" fillId="0" borderId="46" xfId="0" applyFont="1" applyBorder="1"/>
    <xf numFmtId="0" fontId="0" fillId="0" borderId="0" xfId="0" applyAlignment="1">
      <alignment horizontal="left"/>
    </xf>
    <xf numFmtId="0" fontId="0" fillId="9" borderId="0" xfId="0" applyFill="1"/>
    <xf numFmtId="165" fontId="0" fillId="0" borderId="28" xfId="0" applyNumberFormat="1" applyBorder="1"/>
    <xf numFmtId="166" fontId="0" fillId="0" borderId="15" xfId="0" applyNumberFormat="1" applyBorder="1"/>
    <xf numFmtId="165" fontId="0" fillId="0" borderId="14" xfId="0" applyNumberFormat="1" applyBorder="1"/>
    <xf numFmtId="0" fontId="19" fillId="0" borderId="0" xfId="0" applyFont="1"/>
    <xf numFmtId="10" fontId="0" fillId="0" borderId="9" xfId="2" applyNumberFormat="1" applyFont="1" applyBorder="1"/>
    <xf numFmtId="0" fontId="0" fillId="0" borderId="0" xfId="0" applyBorder="1" applyAlignment="1">
      <alignment horizontal="left"/>
    </xf>
    <xf numFmtId="165" fontId="0" fillId="0" borderId="0" xfId="0" applyNumberFormat="1" applyBorder="1"/>
    <xf numFmtId="165" fontId="0" fillId="0" borderId="48" xfId="1" applyNumberFormat="1" applyFont="1" applyBorder="1"/>
    <xf numFmtId="0" fontId="0" fillId="0" borderId="48" xfId="0" applyBorder="1"/>
    <xf numFmtId="165" fontId="0" fillId="0" borderId="48" xfId="0" applyNumberFormat="1" applyBorder="1"/>
    <xf numFmtId="165" fontId="2" fillId="3" borderId="48" xfId="1" applyNumberFormat="1" applyFont="1" applyFill="1" applyBorder="1"/>
    <xf numFmtId="165" fontId="0" fillId="0" borderId="36" xfId="1" applyNumberFormat="1" applyFont="1" applyBorder="1"/>
    <xf numFmtId="0" fontId="3" fillId="10" borderId="24" xfId="0" applyFont="1" applyFill="1" applyBorder="1"/>
    <xf numFmtId="0" fontId="0" fillId="10" borderId="25" xfId="0" applyFill="1" applyBorder="1"/>
    <xf numFmtId="0" fontId="0" fillId="10" borderId="26" xfId="0" applyFill="1" applyBorder="1"/>
    <xf numFmtId="0" fontId="3" fillId="10" borderId="2" xfId="0" applyFont="1" applyFill="1" applyBorder="1"/>
    <xf numFmtId="0" fontId="2" fillId="10" borderId="1" xfId="0" applyFont="1" applyFill="1" applyBorder="1"/>
    <xf numFmtId="0" fontId="2" fillId="10" borderId="3" xfId="0" applyFont="1" applyFill="1" applyBorder="1" applyAlignment="1">
      <alignment wrapText="1"/>
    </xf>
    <xf numFmtId="0" fontId="3" fillId="10" borderId="7" xfId="0" applyFont="1" applyFill="1" applyBorder="1" applyAlignment="1">
      <alignment horizontal="left"/>
    </xf>
    <xf numFmtId="0" fontId="2" fillId="10" borderId="8" xfId="0" applyFont="1" applyFill="1" applyBorder="1"/>
    <xf numFmtId="0" fontId="2" fillId="10" borderId="9" xfId="0" applyFont="1" applyFill="1" applyBorder="1"/>
    <xf numFmtId="0" fontId="3" fillId="10" borderId="10" xfId="0" applyFont="1" applyFill="1" applyBorder="1" applyAlignment="1">
      <alignment horizontal="left"/>
    </xf>
    <xf numFmtId="0" fontId="2" fillId="10" borderId="11" xfId="0" applyFont="1" applyFill="1" applyBorder="1"/>
    <xf numFmtId="0" fontId="2" fillId="10" borderId="12" xfId="0" applyFont="1" applyFill="1" applyBorder="1"/>
    <xf numFmtId="0" fontId="2" fillId="10" borderId="10" xfId="0" applyFont="1" applyFill="1" applyBorder="1" applyAlignment="1">
      <alignment horizontal="center" vertical="center" wrapText="1"/>
    </xf>
    <xf numFmtId="0" fontId="2" fillId="10" borderId="46" xfId="0" applyFont="1" applyFill="1" applyBorder="1" applyAlignment="1">
      <alignment horizontal="center" vertical="center" wrapText="1"/>
    </xf>
    <xf numFmtId="0" fontId="0" fillId="0" borderId="46" xfId="0" applyBorder="1" applyAlignment="1">
      <alignment horizontal="center"/>
    </xf>
    <xf numFmtId="174" fontId="0" fillId="0" borderId="46" xfId="0" applyNumberFormat="1" applyBorder="1" applyAlignment="1">
      <alignment horizontal="center"/>
    </xf>
    <xf numFmtId="167" fontId="0" fillId="0" borderId="46" xfId="2" applyNumberFormat="1" applyFont="1" applyBorder="1" applyAlignment="1">
      <alignment horizontal="center"/>
    </xf>
    <xf numFmtId="174" fontId="18" fillId="0" borderId="46" xfId="0" applyNumberFormat="1" applyFont="1" applyBorder="1" applyAlignment="1">
      <alignment horizontal="center"/>
    </xf>
    <xf numFmtId="167" fontId="18" fillId="0" borderId="46" xfId="2" applyNumberFormat="1" applyFont="1" applyBorder="1" applyAlignment="1">
      <alignment horizontal="center"/>
    </xf>
    <xf numFmtId="0" fontId="2" fillId="4" borderId="18" xfId="0" applyFont="1" applyFill="1" applyBorder="1"/>
    <xf numFmtId="0" fontId="3" fillId="4" borderId="27" xfId="0" applyFont="1" applyFill="1" applyBorder="1" applyAlignment="1">
      <alignment horizontal="left"/>
    </xf>
    <xf numFmtId="0" fontId="2" fillId="4" borderId="28" xfId="0" applyFont="1" applyFill="1" applyBorder="1"/>
    <xf numFmtId="43" fontId="2" fillId="4" borderId="28" xfId="0" applyNumberFormat="1" applyFont="1" applyFill="1" applyBorder="1"/>
    <xf numFmtId="0" fontId="2" fillId="4" borderId="29" xfId="0" applyFont="1" applyFill="1" applyBorder="1"/>
    <xf numFmtId="0" fontId="3" fillId="4" borderId="7" xfId="0" applyFont="1" applyFill="1" applyBorder="1" applyAlignment="1">
      <alignment horizontal="left"/>
    </xf>
    <xf numFmtId="0" fontId="2" fillId="4" borderId="8" xfId="0" applyFont="1" applyFill="1" applyBorder="1"/>
    <xf numFmtId="0" fontId="2" fillId="4" borderId="9" xfId="0" applyFont="1" applyFill="1" applyBorder="1"/>
    <xf numFmtId="0" fontId="3" fillId="4" borderId="17" xfId="0" applyFont="1" applyFill="1" applyBorder="1" applyAlignment="1">
      <alignment horizontal="left"/>
    </xf>
    <xf numFmtId="0" fontId="2" fillId="4" borderId="19" xfId="0" applyFont="1" applyFill="1" applyBorder="1"/>
    <xf numFmtId="0" fontId="3" fillId="4" borderId="7" xfId="0" applyFont="1" applyFill="1" applyBorder="1"/>
    <xf numFmtId="0" fontId="3" fillId="4" borderId="8" xfId="0" applyFont="1" applyFill="1" applyBorder="1"/>
    <xf numFmtId="0" fontId="3" fillId="4" borderId="9" xfId="0" applyFont="1" applyFill="1" applyBorder="1"/>
    <xf numFmtId="0" fontId="3" fillId="4" borderId="2" xfId="0" applyFont="1" applyFill="1" applyBorder="1"/>
    <xf numFmtId="0" fontId="3" fillId="4" borderId="1" xfId="0" applyFont="1" applyFill="1" applyBorder="1"/>
    <xf numFmtId="0" fontId="3" fillId="4" borderId="3" xfId="0" applyFont="1" applyFill="1" applyBorder="1"/>
    <xf numFmtId="0" fontId="2" fillId="4" borderId="2" xfId="0" applyFont="1" applyFill="1" applyBorder="1"/>
    <xf numFmtId="0" fontId="2" fillId="4" borderId="1" xfId="0" applyFont="1" applyFill="1" applyBorder="1"/>
    <xf numFmtId="0" fontId="2" fillId="4" borderId="48" xfId="0" applyFont="1" applyFill="1" applyBorder="1"/>
    <xf numFmtId="165" fontId="2" fillId="4" borderId="48" xfId="1" applyNumberFormat="1" applyFont="1" applyFill="1" applyBorder="1"/>
    <xf numFmtId="0" fontId="5" fillId="4" borderId="32" xfId="0" applyFont="1" applyFill="1" applyBorder="1"/>
    <xf numFmtId="0" fontId="0" fillId="4" borderId="33" xfId="0" applyFill="1" applyBorder="1"/>
    <xf numFmtId="0" fontId="0" fillId="4" borderId="30" xfId="0" applyFill="1" applyBorder="1"/>
    <xf numFmtId="165" fontId="0" fillId="0" borderId="0" xfId="1" applyNumberFormat="1" applyFont="1" applyAlignment="1">
      <alignment vertical="center"/>
    </xf>
    <xf numFmtId="165" fontId="0" fillId="0" borderId="0" xfId="0" applyNumberFormat="1" applyAlignment="1">
      <alignment vertical="center"/>
    </xf>
    <xf numFmtId="0" fontId="2" fillId="3" borderId="18" xfId="0" applyFont="1" applyFill="1" applyBorder="1" applyAlignment="1">
      <alignment horizontal="center" vertical="center" wrapText="1"/>
    </xf>
    <xf numFmtId="0" fontId="3" fillId="10" borderId="17" xfId="0" applyFont="1" applyFill="1" applyBorder="1" applyAlignment="1">
      <alignment horizontal="left"/>
    </xf>
    <xf numFmtId="0" fontId="2" fillId="10" borderId="18" xfId="0" applyFont="1" applyFill="1" applyBorder="1"/>
    <xf numFmtId="0" fontId="2" fillId="10" borderId="19" xfId="0" applyFont="1" applyFill="1" applyBorder="1"/>
    <xf numFmtId="166" fontId="0" fillId="0" borderId="19" xfId="1" applyNumberFormat="1" applyFont="1" applyBorder="1"/>
    <xf numFmtId="175" fontId="0" fillId="0" borderId="1" xfId="0" applyNumberFormat="1" applyBorder="1"/>
    <xf numFmtId="170" fontId="0" fillId="0" borderId="18" xfId="0" applyNumberFormat="1" applyBorder="1"/>
    <xf numFmtId="170" fontId="0" fillId="0" borderId="36" xfId="0" applyNumberFormat="1" applyBorder="1"/>
    <xf numFmtId="170" fontId="0" fillId="0" borderId="19" xfId="0" applyNumberFormat="1" applyBorder="1"/>
    <xf numFmtId="170" fontId="0" fillId="0" borderId="42" xfId="0" applyNumberFormat="1" applyBorder="1"/>
    <xf numFmtId="0" fontId="0" fillId="0" borderId="6" xfId="0" applyBorder="1"/>
    <xf numFmtId="0" fontId="0" fillId="0" borderId="37" xfId="0" applyBorder="1"/>
    <xf numFmtId="0" fontId="0" fillId="0" borderId="21" xfId="0" applyBorder="1" applyAlignment="1">
      <alignment horizontal="left" indent="2"/>
    </xf>
    <xf numFmtId="0" fontId="2" fillId="10" borderId="0" xfId="0" applyFont="1" applyFill="1" applyBorder="1" applyAlignment="1">
      <alignment horizontal="center" vertical="center" wrapText="1"/>
    </xf>
    <xf numFmtId="0" fontId="2" fillId="3" borderId="41" xfId="0" applyFont="1" applyFill="1" applyBorder="1" applyAlignment="1">
      <alignment horizontal="center" vertical="center"/>
    </xf>
    <xf numFmtId="0" fontId="2" fillId="3" borderId="18" xfId="0" applyFont="1" applyFill="1" applyBorder="1" applyAlignment="1">
      <alignment horizontal="center" vertical="center" wrapText="1"/>
    </xf>
    <xf numFmtId="0" fontId="2" fillId="3" borderId="43" xfId="0" applyFont="1" applyFill="1" applyBorder="1" applyAlignment="1">
      <alignment horizontal="center" vertical="center" wrapText="1"/>
    </xf>
    <xf numFmtId="165" fontId="2" fillId="3" borderId="10" xfId="0" applyNumberFormat="1" applyFont="1" applyFill="1" applyBorder="1"/>
    <xf numFmtId="0" fontId="2" fillId="3" borderId="24" xfId="0" applyFont="1" applyFill="1" applyBorder="1" applyAlignment="1">
      <alignment vertical="center" wrapText="1"/>
    </xf>
    <xf numFmtId="0" fontId="4" fillId="0" borderId="3" xfId="3" applyBorder="1"/>
    <xf numFmtId="43" fontId="0" fillId="0" borderId="39" xfId="1" applyNumberFormat="1" applyFont="1" applyBorder="1"/>
    <xf numFmtId="0" fontId="2" fillId="2" borderId="24" xfId="0" applyFont="1" applyFill="1" applyBorder="1"/>
    <xf numFmtId="0" fontId="4" fillId="0" borderId="6" xfId="3" applyBorder="1"/>
    <xf numFmtId="0" fontId="2" fillId="3" borderId="51" xfId="0" applyFont="1" applyFill="1" applyBorder="1" applyAlignment="1">
      <alignment horizontal="center" vertical="center"/>
    </xf>
    <xf numFmtId="166" fontId="0" fillId="0" borderId="39" xfId="1" applyNumberFormat="1" applyFont="1" applyBorder="1"/>
    <xf numFmtId="0" fontId="0" fillId="0" borderId="3" xfId="0" applyFill="1" applyBorder="1"/>
    <xf numFmtId="0" fontId="0" fillId="0" borderId="6" xfId="0" applyFill="1" applyBorder="1"/>
    <xf numFmtId="165" fontId="2" fillId="2" borderId="24" xfId="1" applyNumberFormat="1" applyFont="1" applyFill="1" applyBorder="1"/>
    <xf numFmtId="165" fontId="0" fillId="0" borderId="52" xfId="1" applyNumberFormat="1" applyFont="1" applyBorder="1"/>
    <xf numFmtId="9" fontId="0" fillId="0" borderId="1" xfId="2" applyFont="1" applyBorder="1"/>
    <xf numFmtId="9" fontId="2" fillId="3" borderId="11" xfId="2" applyFont="1" applyFill="1" applyBorder="1"/>
    <xf numFmtId="165" fontId="2" fillId="3" borderId="12" xfId="0" applyNumberFormat="1" applyFont="1" applyFill="1" applyBorder="1"/>
    <xf numFmtId="169" fontId="0" fillId="0" borderId="1" xfId="0" applyNumberFormat="1" applyFill="1" applyBorder="1" applyAlignment="1">
      <alignment vertical="center"/>
    </xf>
    <xf numFmtId="169" fontId="0" fillId="0" borderId="5" xfId="0" applyNumberFormat="1" applyFill="1" applyBorder="1" applyAlignment="1">
      <alignment vertical="center"/>
    </xf>
    <xf numFmtId="10" fontId="0" fillId="0" borderId="0" xfId="2" applyNumberFormat="1" applyFont="1"/>
    <xf numFmtId="4" fontId="0" fillId="0" borderId="0" xfId="0" applyNumberFormat="1"/>
    <xf numFmtId="165" fontId="0" fillId="4" borderId="1" xfId="1" applyNumberFormat="1" applyFont="1" applyFill="1" applyBorder="1"/>
    <xf numFmtId="165" fontId="0" fillId="4" borderId="3" xfId="1" applyNumberFormat="1" applyFont="1" applyFill="1" applyBorder="1"/>
    <xf numFmtId="0" fontId="0" fillId="0" borderId="2" xfId="0" applyBorder="1" applyAlignment="1">
      <alignment horizontal="left" vertical="center"/>
    </xf>
    <xf numFmtId="0" fontId="14" fillId="0" borderId="2" xfId="0" applyFont="1" applyBorder="1" applyAlignment="1">
      <alignment horizontal="left" vertical="center"/>
    </xf>
    <xf numFmtId="0" fontId="0" fillId="0" borderId="13" xfId="0" applyBorder="1" applyAlignment="1">
      <alignment horizontal="left" vertical="center"/>
    </xf>
    <xf numFmtId="0" fontId="3" fillId="10" borderId="17" xfId="0" applyFont="1" applyFill="1" applyBorder="1"/>
    <xf numFmtId="0" fontId="2" fillId="10" borderId="19" xfId="0" applyFont="1" applyFill="1" applyBorder="1" applyAlignment="1">
      <alignment wrapText="1"/>
    </xf>
    <xf numFmtId="10" fontId="0" fillId="0" borderId="1" xfId="2" applyNumberFormat="1" applyFont="1" applyFill="1" applyBorder="1"/>
    <xf numFmtId="10" fontId="0" fillId="0" borderId="5" xfId="2" applyNumberFormat="1" applyFont="1" applyFill="1" applyBorder="1"/>
    <xf numFmtId="10" fontId="0" fillId="0" borderId="6" xfId="2" applyNumberFormat="1" applyFont="1" applyFill="1" applyBorder="1"/>
    <xf numFmtId="10" fontId="0" fillId="0" borderId="18" xfId="2" applyNumberFormat="1" applyFont="1" applyFill="1" applyBorder="1" applyAlignment="1">
      <alignment vertical="center"/>
    </xf>
    <xf numFmtId="10" fontId="0" fillId="0" borderId="5" xfId="2" applyNumberFormat="1" applyFont="1" applyFill="1" applyBorder="1" applyAlignment="1">
      <alignment vertical="center"/>
    </xf>
    <xf numFmtId="10" fontId="0" fillId="0" borderId="6" xfId="2" applyNumberFormat="1" applyFont="1" applyFill="1" applyBorder="1" applyAlignment="1">
      <alignment vertical="center"/>
    </xf>
    <xf numFmtId="10" fontId="0" fillId="4" borderId="1" xfId="2" applyNumberFormat="1" applyFont="1" applyFill="1" applyBorder="1"/>
    <xf numFmtId="174" fontId="18" fillId="11" borderId="46" xfId="0" applyNumberFormat="1" applyFont="1" applyFill="1" applyBorder="1" applyAlignment="1">
      <alignment horizontal="center"/>
    </xf>
    <xf numFmtId="165" fontId="0" fillId="11" borderId="5" xfId="1" applyNumberFormat="1" applyFont="1" applyFill="1" applyBorder="1"/>
    <xf numFmtId="0" fontId="20" fillId="0" borderId="46" xfId="0" applyFont="1" applyBorder="1" applyAlignment="1">
      <alignment horizontal="center"/>
    </xf>
    <xf numFmtId="165" fontId="0" fillId="0" borderId="28" xfId="1" applyNumberFormat="1" applyFont="1" applyBorder="1"/>
    <xf numFmtId="0" fontId="0" fillId="0" borderId="4" xfId="0" applyBorder="1" applyAlignment="1">
      <alignment horizontal="left"/>
    </xf>
    <xf numFmtId="165" fontId="0" fillId="11" borderId="1" xfId="1" applyNumberFormat="1" applyFont="1" applyFill="1" applyBorder="1"/>
    <xf numFmtId="43" fontId="0" fillId="0" borderId="0" xfId="1" applyFont="1"/>
    <xf numFmtId="43" fontId="0" fillId="0" borderId="0" xfId="1" applyFont="1" applyAlignment="1">
      <alignment vertical="center"/>
    </xf>
    <xf numFmtId="0" fontId="0" fillId="0" borderId="0" xfId="1" applyNumberFormat="1" applyFont="1"/>
    <xf numFmtId="0" fontId="11" fillId="0" borderId="0" xfId="11"/>
    <xf numFmtId="0" fontId="21" fillId="0" borderId="0" xfId="0" applyFont="1" applyAlignment="1">
      <alignment horizontal="center" wrapText="1"/>
    </xf>
    <xf numFmtId="176" fontId="0" fillId="0" borderId="0" xfId="0" applyNumberFormat="1"/>
    <xf numFmtId="176" fontId="11" fillId="0" borderId="0" xfId="11" applyNumberFormat="1"/>
    <xf numFmtId="0" fontId="23" fillId="0" borderId="0" xfId="0" applyFont="1"/>
    <xf numFmtId="0" fontId="23" fillId="0" borderId="0" xfId="0" applyFont="1" applyAlignment="1">
      <alignment horizontal="center"/>
    </xf>
    <xf numFmtId="0" fontId="21" fillId="12" borderId="0" xfId="0" applyFont="1" applyFill="1" applyAlignment="1">
      <alignment horizontal="center" wrapText="1"/>
    </xf>
    <xf numFmtId="0" fontId="22" fillId="12" borderId="0" xfId="11" applyFont="1" applyFill="1" applyAlignment="1">
      <alignment horizontal="center"/>
    </xf>
    <xf numFmtId="0" fontId="23" fillId="13" borderId="0" xfId="0" applyFont="1" applyFill="1"/>
    <xf numFmtId="176" fontId="11" fillId="14" borderId="0" xfId="11" applyNumberFormat="1" applyFill="1" applyProtection="1">
      <protection locked="0"/>
    </xf>
    <xf numFmtId="176" fontId="23" fillId="0" borderId="0" xfId="0" applyNumberFormat="1" applyFont="1"/>
    <xf numFmtId="177" fontId="11" fillId="14" borderId="0" xfId="11" applyNumberFormat="1" applyFill="1" applyAlignment="1" applyProtection="1">
      <alignment horizontal="center"/>
      <protection locked="0"/>
    </xf>
    <xf numFmtId="176" fontId="11" fillId="13" borderId="0" xfId="11" applyNumberFormat="1" applyFill="1"/>
    <xf numFmtId="176" fontId="23" fillId="14" borderId="0" xfId="0" applyNumberFormat="1" applyFont="1" applyFill="1" applyProtection="1">
      <protection locked="0"/>
    </xf>
    <xf numFmtId="176" fontId="23" fillId="13" borderId="0" xfId="0" applyNumberFormat="1" applyFont="1" applyFill="1"/>
    <xf numFmtId="0" fontId="3" fillId="2" borderId="0" xfId="0" applyFont="1" applyFill="1" applyBorder="1"/>
    <xf numFmtId="0" fontId="2" fillId="2" borderId="0" xfId="0" applyFont="1" applyFill="1" applyBorder="1"/>
    <xf numFmtId="0" fontId="2" fillId="2" borderId="0" xfId="0" applyFont="1" applyFill="1" applyBorder="1" applyAlignment="1">
      <alignment wrapText="1"/>
    </xf>
    <xf numFmtId="178" fontId="24" fillId="0" borderId="0" xfId="3" applyNumberFormat="1" applyFont="1"/>
    <xf numFmtId="43" fontId="0" fillId="15" borderId="0" xfId="1" applyFont="1" applyFill="1"/>
    <xf numFmtId="165" fontId="24" fillId="0" borderId="0" xfId="1" applyNumberFormat="1" applyFont="1"/>
    <xf numFmtId="0" fontId="2" fillId="3" borderId="23"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1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41"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49"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49" xfId="0" applyFont="1" applyFill="1" applyBorder="1" applyAlignment="1">
      <alignment horizontal="center" vertical="center"/>
    </xf>
    <xf numFmtId="0" fontId="2" fillId="3" borderId="50" xfId="0" applyFont="1" applyFill="1" applyBorder="1" applyAlignment="1">
      <alignment horizontal="center" vertical="center"/>
    </xf>
    <xf numFmtId="0" fontId="21" fillId="0" borderId="53" xfId="0" applyFont="1" applyBorder="1" applyAlignment="1">
      <alignment horizontal="center" wrapText="1"/>
    </xf>
    <xf numFmtId="0" fontId="21" fillId="0" borderId="54" xfId="0" applyFont="1" applyBorder="1" applyAlignment="1">
      <alignment horizontal="center" wrapText="1"/>
    </xf>
    <xf numFmtId="0" fontId="21" fillId="0" borderId="55" xfId="0" applyFont="1" applyBorder="1" applyAlignment="1">
      <alignment horizontal="center" wrapText="1"/>
    </xf>
    <xf numFmtId="0" fontId="2" fillId="3" borderId="24"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25"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22" xfId="0" applyFont="1" applyFill="1" applyBorder="1" applyAlignment="1">
      <alignment horizontal="center"/>
    </xf>
    <xf numFmtId="0" fontId="2" fillId="3" borderId="34" xfId="0" applyFont="1" applyFill="1" applyBorder="1" applyAlignment="1">
      <alignment horizontal="center"/>
    </xf>
    <xf numFmtId="0" fontId="2" fillId="3" borderId="37" xfId="0" applyFont="1" applyFill="1" applyBorder="1" applyAlignment="1">
      <alignment horizontal="center"/>
    </xf>
    <xf numFmtId="0" fontId="3" fillId="3" borderId="17" xfId="0" applyFont="1" applyFill="1" applyBorder="1" applyAlignment="1">
      <alignment horizontal="center"/>
    </xf>
    <xf numFmtId="0" fontId="3" fillId="3" borderId="18" xfId="0" applyFont="1" applyFill="1" applyBorder="1" applyAlignment="1">
      <alignment horizontal="center"/>
    </xf>
    <xf numFmtId="0" fontId="3" fillId="3" borderId="19" xfId="0" applyFont="1" applyFill="1" applyBorder="1" applyAlignment="1">
      <alignment horizontal="center"/>
    </xf>
    <xf numFmtId="0" fontId="2" fillId="3" borderId="1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2" xfId="0" applyFont="1" applyFill="1" applyBorder="1" applyAlignment="1">
      <alignment horizontal="center" vertical="center" wrapText="1"/>
    </xf>
  </cellXfs>
  <cellStyles count="12">
    <cellStyle name="Comma" xfId="1" builtinId="3"/>
    <cellStyle name="Comma 2" xfId="4" xr:uid="{00000000-0005-0000-0000-000001000000}"/>
    <cellStyle name="Comma 3" xfId="7" xr:uid="{00000000-0005-0000-0000-000002000000}"/>
    <cellStyle name="Comma 4" xfId="9" xr:uid="{00000000-0005-0000-0000-000003000000}"/>
    <cellStyle name="Currency" xfId="5" builtinId="4"/>
    <cellStyle name="Good 2" xfId="8" xr:uid="{00000000-0005-0000-0000-000005000000}"/>
    <cellStyle name="Hyperlink" xfId="10" builtinId="8"/>
    <cellStyle name="Normal" xfId="0" builtinId="0"/>
    <cellStyle name="Normal 2" xfId="3" xr:uid="{00000000-0005-0000-0000-000008000000}"/>
    <cellStyle name="Normal_Core Model Version 0.1" xfId="11" xr:uid="{00000000-0005-0000-0000-000009000000}"/>
    <cellStyle name="Percent" xfId="2" builtinId="5"/>
    <cellStyle name="Percent 2" xfId="6" xr:uid="{00000000-0005-0000-0000-00000B000000}"/>
  </cellStyles>
  <dxfs count="0"/>
  <tableStyles count="0" defaultTableStyle="TableStyleMedium2" defaultPivotStyle="PivotStyleLight16"/>
  <colors>
    <mruColors>
      <color rgb="FF007D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29</xdr:col>
      <xdr:colOff>444500</xdr:colOff>
      <xdr:row>9</xdr:row>
      <xdr:rowOff>0</xdr:rowOff>
    </xdr:from>
    <xdr:to>
      <xdr:col>40</xdr:col>
      <xdr:colOff>490716</xdr:colOff>
      <xdr:row>20</xdr:row>
      <xdr:rowOff>47583</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23029333" y="2680336"/>
          <a:ext cx="6798382" cy="2248916"/>
        </a:xfrm>
        <a:prstGeom prst="rect">
          <a:avLst/>
        </a:prstGeom>
      </xdr:spPr>
    </xdr:pic>
    <xdr:clientData/>
  </xdr:twoCellAnchor>
  <xdr:twoCellAnchor editAs="oneCell">
    <xdr:from>
      <xdr:col>28</xdr:col>
      <xdr:colOff>495918</xdr:colOff>
      <xdr:row>15</xdr:row>
      <xdr:rowOff>0</xdr:rowOff>
    </xdr:from>
    <xdr:to>
      <xdr:col>40</xdr:col>
      <xdr:colOff>105475</xdr:colOff>
      <xdr:row>26</xdr:row>
      <xdr:rowOff>39762</xdr:rowOff>
    </xdr:to>
    <xdr:pic>
      <xdr:nvPicPr>
        <xdr:cNvPr id="6" name="Picture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2"/>
        <a:stretch>
          <a:fillRect/>
        </a:stretch>
      </xdr:blipFill>
      <xdr:spPr>
        <a:xfrm>
          <a:off x="23080751" y="5090583"/>
          <a:ext cx="6975557" cy="2241095"/>
        </a:xfrm>
        <a:prstGeom prst="rect">
          <a:avLst/>
        </a:prstGeom>
      </xdr:spPr>
    </xdr:pic>
    <xdr:clientData/>
  </xdr:twoCellAnchor>
  <xdr:twoCellAnchor editAs="oneCell">
    <xdr:from>
      <xdr:col>29</xdr:col>
      <xdr:colOff>507999</xdr:colOff>
      <xdr:row>20</xdr:row>
      <xdr:rowOff>0</xdr:rowOff>
    </xdr:from>
    <xdr:to>
      <xdr:col>40</xdr:col>
      <xdr:colOff>309716</xdr:colOff>
      <xdr:row>29</xdr:row>
      <xdr:rowOff>21631</xdr:rowOff>
    </xdr:to>
    <xdr:pic>
      <xdr:nvPicPr>
        <xdr:cNvPr id="7" name="Picture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3"/>
        <a:stretch>
          <a:fillRect/>
        </a:stretch>
      </xdr:blipFill>
      <xdr:spPr>
        <a:xfrm>
          <a:off x="23092832" y="7498440"/>
          <a:ext cx="6553883" cy="1841965"/>
        </a:xfrm>
        <a:prstGeom prst="rect">
          <a:avLst/>
        </a:prstGeom>
      </xdr:spPr>
    </xdr:pic>
    <xdr:clientData/>
  </xdr:twoCellAnchor>
  <xdr:twoCellAnchor editAs="oneCell">
    <xdr:from>
      <xdr:col>30</xdr:col>
      <xdr:colOff>211666</xdr:colOff>
      <xdr:row>29</xdr:row>
      <xdr:rowOff>27580</xdr:rowOff>
    </xdr:from>
    <xdr:to>
      <xdr:col>40</xdr:col>
      <xdr:colOff>297025</xdr:colOff>
      <xdr:row>39</xdr:row>
      <xdr:rowOff>94774</xdr:rowOff>
    </xdr:to>
    <xdr:pic>
      <xdr:nvPicPr>
        <xdr:cNvPr id="8" name="Picture 7">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4"/>
        <a:stretch>
          <a:fillRect/>
        </a:stretch>
      </xdr:blipFill>
      <xdr:spPr>
        <a:xfrm>
          <a:off x="23410333" y="9510247"/>
          <a:ext cx="6223692" cy="2078027"/>
        </a:xfrm>
        <a:prstGeom prst="rect">
          <a:avLst/>
        </a:prstGeom>
      </xdr:spPr>
    </xdr:pic>
    <xdr:clientData/>
  </xdr:twoCellAnchor>
  <xdr:twoCellAnchor editAs="oneCell">
    <xdr:from>
      <xdr:col>30</xdr:col>
      <xdr:colOff>31749</xdr:colOff>
      <xdr:row>53</xdr:row>
      <xdr:rowOff>169604</xdr:rowOff>
    </xdr:from>
    <xdr:to>
      <xdr:col>43</xdr:col>
      <xdr:colOff>599725</xdr:colOff>
      <xdr:row>64</xdr:row>
      <xdr:rowOff>178514</xdr:rowOff>
    </xdr:to>
    <xdr:pic>
      <xdr:nvPicPr>
        <xdr:cNvPr id="10" name="Picture 9">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5"/>
        <a:stretch>
          <a:fillRect/>
        </a:stretch>
      </xdr:blipFill>
      <xdr:spPr>
        <a:xfrm>
          <a:off x="23230416" y="16055187"/>
          <a:ext cx="8547809" cy="2104410"/>
        </a:xfrm>
        <a:prstGeom prst="rect">
          <a:avLst/>
        </a:prstGeom>
      </xdr:spPr>
    </xdr:pic>
    <xdr:clientData/>
  </xdr:twoCellAnchor>
  <xdr:twoCellAnchor editAs="oneCell">
    <xdr:from>
      <xdr:col>30</xdr:col>
      <xdr:colOff>349249</xdr:colOff>
      <xdr:row>44</xdr:row>
      <xdr:rowOff>109567</xdr:rowOff>
    </xdr:from>
    <xdr:to>
      <xdr:col>41</xdr:col>
      <xdr:colOff>608202</xdr:colOff>
      <xdr:row>52</xdr:row>
      <xdr:rowOff>124526</xdr:rowOff>
    </xdr:to>
    <xdr:pic>
      <xdr:nvPicPr>
        <xdr:cNvPr id="12" name="Picture 11">
          <a:extLst>
            <a:ext uri="{FF2B5EF4-FFF2-40B4-BE49-F238E27FC236}">
              <a16:creationId xmlns:a16="http://schemas.microsoft.com/office/drawing/2014/main" id="{00000000-0008-0000-0700-00000C000000}"/>
            </a:ext>
          </a:extLst>
        </xdr:cNvPr>
        <xdr:cNvPicPr>
          <a:picLocks noChangeAspect="1"/>
        </xdr:cNvPicPr>
      </xdr:nvPicPr>
      <xdr:blipFill>
        <a:blip xmlns:r="http://schemas.openxmlformats.org/officeDocument/2006/relationships" r:embed="rId6"/>
        <a:stretch>
          <a:fillRect/>
        </a:stretch>
      </xdr:blipFill>
      <xdr:spPr>
        <a:xfrm>
          <a:off x="23547916" y="14016067"/>
          <a:ext cx="7011120" cy="1803542"/>
        </a:xfrm>
        <a:prstGeom prst="rect">
          <a:avLst/>
        </a:prstGeom>
      </xdr:spPr>
    </xdr:pic>
    <xdr:clientData/>
  </xdr:twoCellAnchor>
  <xdr:twoCellAnchor editAs="oneCell">
    <xdr:from>
      <xdr:col>30</xdr:col>
      <xdr:colOff>158748</xdr:colOff>
      <xdr:row>66</xdr:row>
      <xdr:rowOff>10585</xdr:rowOff>
    </xdr:from>
    <xdr:to>
      <xdr:col>48</xdr:col>
      <xdr:colOff>376415</xdr:colOff>
      <xdr:row>80</xdr:row>
      <xdr:rowOff>115014</xdr:rowOff>
    </xdr:to>
    <xdr:pic>
      <xdr:nvPicPr>
        <xdr:cNvPr id="13" name="Picture 12">
          <a:extLst>
            <a:ext uri="{FF2B5EF4-FFF2-40B4-BE49-F238E27FC236}">
              <a16:creationId xmlns:a16="http://schemas.microsoft.com/office/drawing/2014/main" id="{00000000-0008-0000-0700-00000D000000}"/>
            </a:ext>
          </a:extLst>
        </xdr:cNvPr>
        <xdr:cNvPicPr>
          <a:picLocks noChangeAspect="1"/>
        </xdr:cNvPicPr>
      </xdr:nvPicPr>
      <xdr:blipFill>
        <a:blip xmlns:r="http://schemas.openxmlformats.org/officeDocument/2006/relationships" r:embed="rId7"/>
        <a:stretch>
          <a:fillRect/>
        </a:stretch>
      </xdr:blipFill>
      <xdr:spPr>
        <a:xfrm>
          <a:off x="23357415" y="18372668"/>
          <a:ext cx="11266667" cy="2771429"/>
        </a:xfrm>
        <a:prstGeom prst="rect">
          <a:avLst/>
        </a:prstGeom>
      </xdr:spPr>
    </xdr:pic>
    <xdr:clientData/>
  </xdr:twoCellAnchor>
  <xdr:twoCellAnchor editAs="oneCell">
    <xdr:from>
      <xdr:col>30</xdr:col>
      <xdr:colOff>127000</xdr:colOff>
      <xdr:row>40</xdr:row>
      <xdr:rowOff>95252</xdr:rowOff>
    </xdr:from>
    <xdr:to>
      <xdr:col>42</xdr:col>
      <xdr:colOff>119239</xdr:colOff>
      <xdr:row>49</xdr:row>
      <xdr:rowOff>116858</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8"/>
        <a:stretch>
          <a:fillRect/>
        </a:stretch>
      </xdr:blipFill>
      <xdr:spPr>
        <a:xfrm>
          <a:off x="23325667" y="11779252"/>
          <a:ext cx="7358239" cy="20536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409575</xdr:colOff>
      <xdr:row>0</xdr:row>
      <xdr:rowOff>38100</xdr:rowOff>
    </xdr:from>
    <xdr:to>
      <xdr:col>15</xdr:col>
      <xdr:colOff>56432</xdr:colOff>
      <xdr:row>11</xdr:row>
      <xdr:rowOff>190219</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286375" y="38100"/>
          <a:ext cx="5742857" cy="2247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12</xdr:row>
      <xdr:rowOff>66675</xdr:rowOff>
    </xdr:from>
    <xdr:to>
      <xdr:col>4</xdr:col>
      <xdr:colOff>380502</xdr:colOff>
      <xdr:row>20</xdr:row>
      <xdr:rowOff>76200</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1" y="2600325"/>
          <a:ext cx="5114426" cy="1533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Calhoun\Local%20Settings\Temporary%20Internet%20Files\Content.Outlook\EIW673TU\Documents%20and%20Settings\dferraro\Local%20Settings\Temporary%20Internet%20Files\OLKB\Dummy%20Fi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ory\2016%20Cost%20of%20Service%20Prep\3_Operating%20Revenue\Load%20Forecast\CDM\2015_Filing_Requirements_Chapter2_Appendice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LDC%20FTY%20-%20LF\CostAlloc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Regulatory\2016%20Cost%20of%20Service%20Prep\2_RateBase\Cost%20of%20Power\Cost%20of%20Power%202015-16%20Forecast%20v0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26">
          <cell r="E26"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EMBEDDED DISTRIBUTOR</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Electricity Rate - First 250 kWh</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General Service 1,500 to 4,999 kW customer</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TIME OF USE</v>
          </cell>
          <cell r="I17" t="str">
            <v>Green Energy Act Plan Funding Adder</v>
          </cell>
          <cell r="Z17" t="str">
            <v>Dispute Test – Commercial TT -- MC</v>
          </cell>
          <cell r="AA17" t="str">
            <v>Disconnect/Reconnect Charge – At Meter – After Hours</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1,499 KW</v>
          </cell>
          <cell r="I21" t="str">
            <v>Low Voltage Service Charge</v>
          </cell>
          <cell r="Z21" t="str">
            <v>Income Tax Letter</v>
          </cell>
          <cell r="AA21" t="str">
            <v>Disconnect/Reconnect Charges for non payment of account - At Meter After Hours</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row>
        <row r="37">
          <cell r="A37" t="str">
            <v>GENERAL SERVICE 700 TO 4,999 KW</v>
          </cell>
          <cell r="I37" t="str">
            <v>Rate Rider for Deferral/Variance Account Disposition (2012) - effective until April 30, 2016</v>
          </cell>
          <cell r="AA37" t="str">
            <v>Late Payment – per month</v>
          </cell>
        </row>
        <row r="38">
          <cell r="A38" t="str">
            <v>GENERAL SERVICE DEMAND BILLED (50 KW AND ABOVE) [GSD]</v>
          </cell>
          <cell r="I38" t="str">
            <v>Rate Rider for Deferral/Variance Account Disposition (2013) - effective until April 30, 2014</v>
          </cell>
          <cell r="AA38" t="str">
            <v>Layout fees</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TO 50 KW) [GSE-UNMETERED]</v>
          </cell>
          <cell r="I40" t="str">
            <v>Rate Rider for Deferral/Variance Account Disposition (2014) - effective until April 30, 2015</v>
          </cell>
          <cell r="AA40" t="str">
            <v>Meter Interrogation Charge</v>
          </cell>
        </row>
        <row r="41">
          <cell r="A41" t="str">
            <v>GENERAL SERVICE EQUAL TO OR GREATER THAN 1,500 KW</v>
          </cell>
          <cell r="I41" t="str">
            <v>Rate Rider for Deferral/Variance Account Disposition (2014) - effective until Decembeer 31, 2015</v>
          </cell>
          <cell r="AA41" t="str">
            <v>Missed Service Appointment</v>
          </cell>
        </row>
        <row r="42">
          <cell r="A42" t="str">
            <v>GENERAL SERVICE EQUAL TO OR GREATER THAN 1,500 KW - INTERVAL METERED</v>
          </cell>
          <cell r="I42" t="str">
            <v>Rate Rider for Deferral/Variance Account Disposition (2014) - effective until December 30, 2015</v>
          </cell>
          <cell r="AA42" t="str">
            <v>Norfolk Pole Rentals – Billed</v>
          </cell>
        </row>
        <row r="43">
          <cell r="A43" t="str">
            <v>GENERAL SERVICE GREATER THAN 1,000 KW</v>
          </cell>
          <cell r="I43" t="str">
            <v>Rate Rider for Deferral/Variance Account Disposition (2014) - effective until December 31, 2014</v>
          </cell>
          <cell r="AA43" t="str">
            <v>Optional Interval/TOU Meter charge $/month</v>
          </cell>
        </row>
        <row r="44">
          <cell r="A44" t="str">
            <v>GENERAL SERVICE GREATER THAN 50 kW - WMP</v>
          </cell>
          <cell r="I44" t="str">
            <v>Rate Rider for Deferral/Variance Account Disposition (2014) - effective until December 31, 2015</v>
          </cell>
          <cell r="AA44" t="str">
            <v>Overtime Locate</v>
          </cell>
        </row>
        <row r="45">
          <cell r="A45" t="str">
            <v>GENERAL SERVICE INTERMEDIATE 1,000 TO 4,999 KW</v>
          </cell>
          <cell r="I45" t="str">
            <v>Rate Rider for Deferral/Variance Account Dispositon (2012) - effective until April 30, 2016</v>
          </cell>
          <cell r="AA45" t="str">
            <v>Owner Requested Disconnection/Reconnection – after regular hours</v>
          </cell>
        </row>
        <row r="46">
          <cell r="A46" t="str">
            <v>GENERAL SERVICE INTERMEDIATE RATE CLASS 1,000 TO 4,999 KW (FORMERLY GENERAL SERVICE &gt; 50 KW CUSTOMERS)</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LARGE USE CUSTOMERS)</v>
          </cell>
          <cell r="I47" t="str">
            <v>Rate Rider for Disposition of Deferral/Variance Accounts (2010) - effective until December 31, 2014</v>
          </cell>
          <cell r="AA47" t="str">
            <v>Returned cheque (plus bank charges)</v>
          </cell>
        </row>
        <row r="48">
          <cell r="A48" t="str">
            <v>GENERAL SERVICE LESS THAN 50 KW</v>
          </cell>
          <cell r="I48" t="str">
            <v>Rate Rider for Disposition of Deferral/Variance Accounts (2011) - effective until April 30, 2015</v>
          </cell>
          <cell r="AA48" t="str">
            <v>Rural system expansion / line connection fee</v>
          </cell>
        </row>
        <row r="49">
          <cell r="A49" t="str">
            <v>GENERAL SERVICE LESS THAN 50 KW - SINGLE PHASE ENERGY-BILLED [G1]</v>
          </cell>
          <cell r="I49" t="str">
            <v>Rate Rider for Disposition of Deferral/Variance Accounts (2011) - effective until April 30, 2016</v>
          </cell>
          <cell r="AA49" t="str">
            <v>Same Day Open Trench</v>
          </cell>
        </row>
        <row r="50">
          <cell r="A50" t="str">
            <v>GENERAL SERVICE LESS THAN 50 KW - THREE PHASE ENERGY-BILLED [G3]</v>
          </cell>
          <cell r="I50" t="str">
            <v>Rate Rider for Disposition of Deferral/Variance Accounts (2012) - effective until April 30, 2014</v>
          </cell>
          <cell r="AA50" t="str">
            <v>Scheduled Day Open Trench</v>
          </cell>
        </row>
        <row r="51">
          <cell r="A51" t="str">
            <v>GENERAL SERVICE LESS THAN 50 KW - TRANSMISSION CLASS ENERGY-BILLED [T]</v>
          </cell>
          <cell r="I51" t="str">
            <v>Rate Rider for Disposition of Deferral/Variance Accounts (2012) - effective until April 30, 2015</v>
          </cell>
          <cell r="AA51" t="str">
            <v>Service call – after regular hours</v>
          </cell>
        </row>
        <row r="52">
          <cell r="A52" t="str">
            <v>GENERAL SERVICE LESS THAN 50 KW - URBAN ENERGY-BILLED [UG]</v>
          </cell>
          <cell r="I52" t="str">
            <v>Rate Rider for Disposition of Deferral/Variance Accounts (2012) - effective until April 30, 2016</v>
          </cell>
          <cell r="AA52" t="str">
            <v>Service call – customer owned equipment</v>
          </cell>
        </row>
        <row r="53">
          <cell r="A53" t="str">
            <v>GENERAL SERVICE SINGLE PHASE - G1</v>
          </cell>
          <cell r="I53" t="str">
            <v>Rate Rider for Disposition of Deferral/Variance Accounts (2012) - effective until August 31, 2014</v>
          </cell>
          <cell r="AA53" t="str">
            <v>Service Call – Customer-owned Equipment – After Regular Hours</v>
          </cell>
        </row>
        <row r="54">
          <cell r="A54" t="str">
            <v>GENERAL SERVICE THREE PHASE - G3</v>
          </cell>
          <cell r="I54" t="str">
            <v>Rate Rider for Disposition of Deferral/Variance Accounts (2012) - effective until December 31, 2015</v>
          </cell>
          <cell r="AA54" t="str">
            <v>Service Call – Customer-owned Equipment – During Regular Hours</v>
          </cell>
        </row>
        <row r="55">
          <cell r="A55" t="str">
            <v>INTERMEDIATE USERS</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WITH SELF GENERATION</v>
          </cell>
          <cell r="I56" t="str">
            <v>Rate Rider for Disposition of Deferral/Variance Accounts (2012) – effective until December 31, 2016 Applicable only in the former service area of Clinton Power</v>
          </cell>
          <cell r="AA56" t="str">
            <v>Service Layout - Commercial</v>
          </cell>
        </row>
        <row r="57">
          <cell r="A57" t="str">
            <v>LARGE USE</v>
          </cell>
          <cell r="I57" t="str">
            <v>Rate Rider for Disposition of Deferral/Variance Accounts (2012) - effective until January 31, 2014</v>
          </cell>
          <cell r="AA57" t="str">
            <v>Service Layout - ResidentiaI</v>
          </cell>
        </row>
        <row r="58">
          <cell r="A58" t="str">
            <v>LARGE USE - 3TS</v>
          </cell>
          <cell r="I58" t="str">
            <v>Rate Rider for Disposition of Deferral/Variance Accounts (2012) - effective until June 30, 2014</v>
          </cell>
          <cell r="AA58" t="str">
            <v>Special Billing Service (sub-metering charge per meter)</v>
          </cell>
        </row>
        <row r="59">
          <cell r="A59" t="str">
            <v>LARGE USE - FORD ANNEX</v>
          </cell>
          <cell r="I59" t="str">
            <v>Rate Rider for Disposition of Deferral/Variance Accounts (2013) - Applicable only to Wholesale Market Participants - effective until April 30, 2015</v>
          </cell>
          <cell r="AA59" t="str">
            <v>Special meter reads</v>
          </cell>
        </row>
        <row r="60">
          <cell r="A60" t="str">
            <v>LARGE USE - REGULAR</v>
          </cell>
          <cell r="I60" t="str">
            <v>Rate Rider for Disposition of Deferral/Variance Accounts (2013) - effective until April 30, 2014</v>
          </cell>
          <cell r="AA60" t="str">
            <v>Specific Charge for Access to the Power Poles - $/pole/year</v>
          </cell>
        </row>
        <row r="61">
          <cell r="A61" t="str">
            <v>LARGE USE &gt; 5000 KW</v>
          </cell>
          <cell r="I61" t="str">
            <v>Rate Rider for Disposition of Deferral/Variance Accounts (2013) - effective until April 30, 2015</v>
          </cell>
          <cell r="AA61" t="str">
            <v>Specific Charge for Bell Canada Access to the Power Poles – per pole/year</v>
          </cell>
        </row>
        <row r="62">
          <cell r="A62" t="str">
            <v>microFIT</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RESIDENTIAL</v>
          </cell>
          <cell r="I63" t="str">
            <v>Rate Rider for Disposition of Deferral/Variance Accounts (2013) - effective until April 30, 2017</v>
          </cell>
          <cell r="AA63" t="str">
            <v>Temporary Service – Install &amp; remove – overhead – no transformer</v>
          </cell>
        </row>
        <row r="64">
          <cell r="A64" t="str">
            <v>RESIDENTIAL - HENSALL</v>
          </cell>
          <cell r="I64" t="str">
            <v>Rate Rider for Disposition of Deferral/Variance Accounts (2013) - effective until August 31, 2014</v>
          </cell>
          <cell r="AA64" t="str">
            <v>Temporary Service – Install &amp; remove – overhead – with transformer</v>
          </cell>
        </row>
        <row r="65">
          <cell r="A65" t="str">
            <v>RESIDENTIAL - HIGH DENSITY [R1]</v>
          </cell>
          <cell r="I65" t="str">
            <v>Rate Rider for Disposition of Deferral/Variance Accounts (2013) - effective until December 31, 2014</v>
          </cell>
          <cell r="AA65" t="str">
            <v>Temporary Service – Install &amp; remove – underground – no transformer</v>
          </cell>
        </row>
        <row r="66">
          <cell r="A66" t="str">
            <v>RESIDENTIAL - LOW DENSITY [R2]</v>
          </cell>
          <cell r="I66" t="str">
            <v>Rate Rider for Disposition of Deferral/Variance Accounts (2013) - effective until May 31, 2014</v>
          </cell>
          <cell r="AA66" t="str">
            <v>Temporary service install &amp; remove – overhead – no transformer</v>
          </cell>
        </row>
        <row r="67">
          <cell r="A67" t="str">
            <v>RESIDENTIAL - MEDIUM DENSITY [R1]</v>
          </cell>
          <cell r="I67" t="str">
            <v>Rate Rider for Disposition of Deferred PILs Variance Account 1562 - effective until March 31, 2016</v>
          </cell>
          <cell r="AA67" t="str">
            <v>Temporary Service Install &amp; Remove – Overhead – With Transformer</v>
          </cell>
        </row>
        <row r="68">
          <cell r="A68" t="str">
            <v>RESIDENTIAL - NORMAL DENSITY [R2]</v>
          </cell>
          <cell r="I68" t="str">
            <v>Rate Rider for Disposition of Deferred PILs Variance Account 1562 (2012) - effective until April 30, 2015</v>
          </cell>
          <cell r="AA68" t="str">
            <v>Temporary Service Install &amp; Remove – Underground – No Transformer</v>
          </cell>
        </row>
        <row r="69">
          <cell r="A69" t="str">
            <v>RESIDENTIAL - TIME OF USE</v>
          </cell>
          <cell r="I69" t="str">
            <v>Rate Rider for Disposition of Deferred PILs Variance Account 1562 (2012) - effective until April 30, 2016</v>
          </cell>
          <cell r="AA69" t="str">
            <v>Temporary service installation and removal – overhead – no transformer</v>
          </cell>
        </row>
        <row r="70">
          <cell r="A70" t="str">
            <v>RESIDENTIAL - URBAN [UR]</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REGULAR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SUBURBAN</v>
          </cell>
          <cell r="I72" t="str">
            <v>Rate Rider for Disposition of Deferred PILs Variance Account 1562 (per connection) (2012) - effective until April 30, 2016</v>
          </cell>
        </row>
        <row r="73">
          <cell r="A73" t="str">
            <v>RESIDENTIAL SUBURBAN SEASONAL</v>
          </cell>
          <cell r="I73" t="str">
            <v>Rate Rider for Disposition of Global Adjustment Sub-Account (2011) - effective until April 30, 2015 Applicable only for Non-RPP Customers</v>
          </cell>
        </row>
        <row r="74">
          <cell r="A74" t="str">
            <v>RESIDENTIAL SUBURBAN YEAR ROUND</v>
          </cell>
          <cell r="I74" t="str">
            <v>Rate Rider for Disposition of Global Adjustment Sub-Account (2011) - effective until April 30, 2016 Applicable only for Non-RPP Customers</v>
          </cell>
        </row>
        <row r="75">
          <cell r="A75" t="str">
            <v>RESIDENTIAL URBAN</v>
          </cell>
          <cell r="I75" t="str">
            <v>Rate Rider for Disposition of Global Adjustment Sub-Account (2012) - effective until April 30, 2014 Applicable only for Non-RPP Customers</v>
          </cell>
        </row>
        <row r="76">
          <cell r="A76" t="str">
            <v>RESIDENTIAL URBAN YEAR-ROUND</v>
          </cell>
          <cell r="I76" t="str">
            <v>Rate Rider for Disposition of Global Adjustment Sub-Account (2012) - effective until April 30, 2015 Applicable only for Non-RPP Customers</v>
          </cell>
        </row>
        <row r="77">
          <cell r="A77" t="str">
            <v>SEASONAL RESIDENTIAL</v>
          </cell>
          <cell r="I77" t="str">
            <v>Rate Rider for Disposition of Global Adjustment Sub-Account (2012) - effective until April 30, 2015 Applicatble only for Non-RPP Customers</v>
          </cell>
        </row>
        <row r="78">
          <cell r="A78" t="str">
            <v>SEASONAL RESIDENTIAL - HIGH DENSITY [R3]</v>
          </cell>
          <cell r="I78" t="str">
            <v>Rate Rider for Disposition of Global Adjustment Sub-Account (2012) - effective until April 30, 2016 Applicable only for Non-RPP Customers</v>
          </cell>
        </row>
        <row r="79">
          <cell r="A79" t="str">
            <v>SEASONAL RESIDENTIAL - NORMAL DENSITY [R4]</v>
          </cell>
          <cell r="I79" t="str">
            <v>Rate Rider for Disposition of Global Adjustment Sub-Account (2012) - effective until January 31, 2014. Applicable only for Non-RPP Customers</v>
          </cell>
        </row>
        <row r="80">
          <cell r="A80" t="str">
            <v>SENTINEL LIGHTING</v>
          </cell>
          <cell r="I80" t="str">
            <v>Rate Rider for Disposition of Global Adjustment Sub-Account (2012) - effective until June 30, 2014 Applicable only for Non-RPP Customers</v>
          </cell>
        </row>
        <row r="81">
          <cell r="A81" t="str">
            <v>SMALL COMMERCIAL AND USL - PER CONNECTION</v>
          </cell>
          <cell r="I81" t="str">
            <v>Rate Rider for Disposition of Global Adjustment Sub-Account (2012) Applicable only for Non-RPP Customers - effective until August 31, 2014</v>
          </cell>
        </row>
        <row r="82">
          <cell r="A82" t="str">
            <v>SMALL COMMERCIAL AND USL - PER METER</v>
          </cell>
          <cell r="I82" t="str">
            <v>Rate Rider for Disposition of Global Adjustment Sub-Account (2012) Applicable only to Non-RPP Customers - effective until August 31, 2014</v>
          </cell>
        </row>
        <row r="83">
          <cell r="A83" t="str">
            <v>STANDARD A GENERAL SERVICE AIR ACCESS</v>
          </cell>
          <cell r="I83" t="str">
            <v>Rate Rider for Disposition of Global Adjustment Sub-Account (2013) - effective until April 30, 2014 Applicable only for Non-RPP Customers</v>
          </cell>
        </row>
        <row r="84">
          <cell r="A84" t="str">
            <v>STANDARD A GENERAL SERVICE ROAD/RAIL</v>
          </cell>
          <cell r="I84" t="str">
            <v>Rate Rider for Disposition of Global Adjustment Sub-Account (2013) - effective until April 30, 2015 Applicable only for Non-RPP Customers</v>
          </cell>
        </row>
        <row r="85">
          <cell r="A85" t="str">
            <v>STANDARD A GRID CONNECTED</v>
          </cell>
          <cell r="I85" t="str">
            <v>Rate Rider for Disposition of Global Adjustment Sub-Account (2013) - effective until April 30, 2015 Applicable only for Non-RPP Customers and excluding Wholesale Market Participants</v>
          </cell>
        </row>
        <row r="86">
          <cell r="A86" t="str">
            <v>STANDARD A RESIDENTIAL AIR ACCESS</v>
          </cell>
          <cell r="I86" t="str">
            <v>Rate Rider for Disposition of Global Adjustment Sub-Account (2013) - effective until April 30, 2017 Applicable only for Non-RPP Customers</v>
          </cell>
        </row>
        <row r="87">
          <cell r="A87" t="str">
            <v>STANDARD A RESIDENTIAL ROAD/RAIL</v>
          </cell>
          <cell r="I87" t="str">
            <v>Rate Rider For Disposition of Global Adjustment Sub-Account (2013) - effective until August 31, 2014 Applicable only for Non-RPP Customers</v>
          </cell>
        </row>
        <row r="88">
          <cell r="A88" t="str">
            <v>STANDBY - GENERAL SERVICE 1,000 - 5,000 KW</v>
          </cell>
          <cell r="I88" t="str">
            <v>Rate Rider for Disposition of Global Adjustment Sub-Account (2013) - effective until December 31, 2014 Applicable only for Non-RPP Customers</v>
          </cell>
        </row>
        <row r="89">
          <cell r="A89" t="str">
            <v>STANDBY - GENERAL SERVICE 50 - 1,000 KW</v>
          </cell>
          <cell r="I89" t="str">
            <v>Rate Rider for Disposition of Global Adjustment Sub-Account (2013) - effective until May 31, 2014 Applicable only for Non-RPP Customers</v>
          </cell>
        </row>
        <row r="90">
          <cell r="A90" t="str">
            <v>STANDBY - LARGE USE</v>
          </cell>
          <cell r="I90" t="str">
            <v>Rate Rider for Disposition of Global Adjustment Sub-Account (2014) - effective until December 31, 2014. Applicable only for Non-RPP - Class B Customers</v>
          </cell>
        </row>
        <row r="91">
          <cell r="A91" t="str">
            <v>STANDBY DISTRIBUTION SERVICE</v>
          </cell>
          <cell r="I91" t="str">
            <v>Rate Rider for Disposition of Global Adjustment Sub-Account (2014) - effective until December 31, 2014. Applicable only for Non-RPP Customers</v>
          </cell>
        </row>
        <row r="92">
          <cell r="A92" t="str">
            <v>STANDBY POWER</v>
          </cell>
          <cell r="I92" t="str">
            <v>Rate Rider for Disposition of Global Adjustment Sub-Account (2014) - effective until December 31, 2014. Applicable only for Non-RPP Customers - Class A Customers</v>
          </cell>
        </row>
        <row r="93">
          <cell r="A93" t="str">
            <v>STANDBY POWER - APPROVED ON AN INTERIM BASIS</v>
          </cell>
          <cell r="I93" t="str">
            <v>Rate Rider for Disposition of Global Adjustment Sub-Account (2014) - effective until December 31, 2014. Applicable only for Non-RPP Customers - Interval Metered</v>
          </cell>
        </row>
        <row r="94">
          <cell r="A94" t="str">
            <v>STANDBY POWER GENERAL SERVICE 1,500 TO 4,999 KW</v>
          </cell>
          <cell r="I94" t="str">
            <v>Rate Rider for Disposition of Global Adjustment Sub-Account (2014) - effective until December 31, 2014. Applicable only for Non-RPP Customers - Non Interval Metered</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55"/>
      <sheetData sheetId="56"/>
      <sheetData sheetId="5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odity Price"/>
      <sheetName val="Regulatory Rates"/>
      <sheetName val="Rates"/>
      <sheetName val="2015 Forecast"/>
      <sheetName val="2016 Forecast"/>
    </sheetNames>
    <sheetDataSet>
      <sheetData sheetId="0"/>
      <sheetData sheetId="1">
        <row r="5">
          <cell r="D5">
            <v>4.4000000000000003E-3</v>
          </cell>
        </row>
        <row r="6">
          <cell r="D6">
            <v>1.2999999999999999E-3</v>
          </cell>
        </row>
        <row r="7">
          <cell r="D7">
            <v>0.79</v>
          </cell>
        </row>
      </sheetData>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ontarioenergyboard.ca/oeb/_Documents/EB-2004-0205/RPP_Price_Report_May2016.pdf" TargetMode="External"/><Relationship Id="rId1" Type="http://schemas.openxmlformats.org/officeDocument/2006/relationships/hyperlink" Target="http://www.ontarioenergyboard.ca/oeb/Industry/Regulatory%20Proceedings/Policy%20Initiatives%20and%20Consultations/Regulated%20Price%20Plan" TargetMode="External"/><Relationship Id="rId4" Type="http://schemas.openxmlformats.org/officeDocument/2006/relationships/drawing" Target="../drawings/drawing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B7"/>
  <sheetViews>
    <sheetView workbookViewId="0">
      <selection activeCell="E29" sqref="E29"/>
    </sheetView>
  </sheetViews>
  <sheetFormatPr defaultRowHeight="15" x14ac:dyDescent="0.25"/>
  <cols>
    <col min="1" max="1" width="32.42578125" customWidth="1"/>
    <col min="2" max="2" width="33.140625" customWidth="1"/>
  </cols>
  <sheetData>
    <row r="3" spans="1:2" x14ac:dyDescent="0.25">
      <c r="A3" t="s">
        <v>138</v>
      </c>
      <c r="B3" s="219" t="s">
        <v>137</v>
      </c>
    </row>
    <row r="5" spans="1:2" x14ac:dyDescent="0.25">
      <c r="A5" t="s">
        <v>139</v>
      </c>
      <c r="B5" s="219" t="s">
        <v>192</v>
      </c>
    </row>
    <row r="7" spans="1:2" x14ac:dyDescent="0.25">
      <c r="A7" t="s">
        <v>140</v>
      </c>
      <c r="B7" s="219" t="s">
        <v>193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7"/>
    <pageSetUpPr fitToPage="1"/>
  </sheetPr>
  <dimension ref="A1:H48"/>
  <sheetViews>
    <sheetView workbookViewId="0">
      <selection activeCell="P47" sqref="P47"/>
    </sheetView>
  </sheetViews>
  <sheetFormatPr defaultRowHeight="15" x14ac:dyDescent="0.25"/>
  <cols>
    <col min="1" max="1" width="8.7109375" customWidth="1"/>
    <col min="2" max="2" width="30.42578125" bestFit="1" customWidth="1"/>
    <col min="3" max="3" width="12.7109375" customWidth="1"/>
    <col min="4" max="4" width="14.28515625" bestFit="1" customWidth="1"/>
    <col min="5" max="6" width="12.7109375" customWidth="1"/>
    <col min="7" max="7" width="14.28515625" bestFit="1" customWidth="1"/>
    <col min="8" max="8" width="12.7109375" customWidth="1"/>
  </cols>
  <sheetData>
    <row r="1" spans="1:8" ht="18.75" x14ac:dyDescent="0.3">
      <c r="A1" s="24" t="str">
        <f>Admin!B3</f>
        <v>London Hydro</v>
      </c>
    </row>
    <row r="2" spans="1:8" ht="18.75" x14ac:dyDescent="0.3">
      <c r="A2" s="24" t="str">
        <f>Admin!B5</f>
        <v>EB-2021-0041</v>
      </c>
    </row>
    <row r="3" spans="1:8" ht="18.75" x14ac:dyDescent="0.3">
      <c r="A3" s="24" t="str">
        <f>Admin!B7</f>
        <v>2022 Load Forecast</v>
      </c>
    </row>
    <row r="4" spans="1:8" ht="18.75" x14ac:dyDescent="0.3">
      <c r="A4" s="24"/>
    </row>
    <row r="5" spans="1:8" ht="19.5" thickBot="1" x14ac:dyDescent="0.35">
      <c r="A5" s="26" t="s">
        <v>136</v>
      </c>
      <c r="B5" s="27"/>
      <c r="C5" s="27"/>
      <c r="D5" s="27"/>
      <c r="E5" s="27"/>
      <c r="F5" s="27"/>
      <c r="G5" s="27"/>
      <c r="H5" s="27"/>
    </row>
    <row r="7" spans="1:8" ht="15.75" x14ac:dyDescent="0.25">
      <c r="A7" s="271" t="s">
        <v>134</v>
      </c>
      <c r="B7" s="272"/>
      <c r="C7" s="272"/>
      <c r="D7" s="272"/>
      <c r="E7" s="272"/>
      <c r="F7" s="272"/>
      <c r="G7" s="272"/>
      <c r="H7" s="273"/>
    </row>
    <row r="8" spans="1:8" x14ac:dyDescent="0.25">
      <c r="A8" s="358" t="s">
        <v>71</v>
      </c>
      <c r="B8" s="356" t="s">
        <v>72</v>
      </c>
      <c r="C8" s="360">
        <v>2021</v>
      </c>
      <c r="D8" s="361"/>
      <c r="E8" s="362"/>
      <c r="F8" s="361">
        <v>2022</v>
      </c>
      <c r="G8" s="361"/>
      <c r="H8" s="362"/>
    </row>
    <row r="9" spans="1:8" x14ac:dyDescent="0.25">
      <c r="A9" s="359"/>
      <c r="B9" s="357"/>
      <c r="C9" s="185" t="s">
        <v>73</v>
      </c>
      <c r="D9" s="180" t="s">
        <v>14</v>
      </c>
      <c r="E9" s="167" t="s">
        <v>30</v>
      </c>
      <c r="F9" s="182" t="s">
        <v>73</v>
      </c>
      <c r="G9" s="162" t="s">
        <v>14</v>
      </c>
      <c r="H9" s="167" t="s">
        <v>30</v>
      </c>
    </row>
    <row r="10" spans="1:8" x14ac:dyDescent="0.25">
      <c r="A10" s="73">
        <v>1</v>
      </c>
      <c r="B10" s="39" t="s">
        <v>2</v>
      </c>
      <c r="C10" s="41">
        <f>'Rate Class Customer Model'!$B$33</f>
        <v>148601.06295987862</v>
      </c>
      <c r="D10" s="5">
        <f>'Rate Class Energy Model'!$B$48</f>
        <v>1230987469.6565385</v>
      </c>
      <c r="E10" s="16">
        <f>'Rate Class Demand Model'!$B$28</f>
        <v>0</v>
      </c>
      <c r="F10" s="183">
        <f>'Rate Class Customer Model'!$B$34</f>
        <v>150243</v>
      </c>
      <c r="G10" s="5">
        <f>'Rate Class Energy Model'!$B$49</f>
        <v>1262245325.811132</v>
      </c>
      <c r="H10" s="16">
        <f>'Rate Class Demand Model'!$B$29</f>
        <v>0</v>
      </c>
    </row>
    <row r="11" spans="1:8" x14ac:dyDescent="0.25">
      <c r="A11" s="73">
        <f t="shared" ref="A11:A20" si="0">A10+1</f>
        <v>2</v>
      </c>
      <c r="B11" s="39" t="s">
        <v>126</v>
      </c>
      <c r="C11" s="41">
        <f>'Rate Class Customer Model'!$C$33</f>
        <v>12980.848331278936</v>
      </c>
      <c r="D11" s="5">
        <f>'Rate Class Energy Model'!$C$48</f>
        <v>380432613.87734354</v>
      </c>
      <c r="E11" s="16">
        <f>'Rate Class Demand Model'!$C$28</f>
        <v>0</v>
      </c>
      <c r="F11" s="183">
        <f>'Rate Class Customer Model'!$C$28</f>
        <v>13071</v>
      </c>
      <c r="G11" s="5">
        <f>'Rate Class Energy Model'!$C$49</f>
        <v>378149495.88686538</v>
      </c>
      <c r="H11" s="16">
        <f>'Rate Class Demand Model'!$C$29</f>
        <v>0</v>
      </c>
    </row>
    <row r="12" spans="1:8" x14ac:dyDescent="0.25">
      <c r="A12" s="73">
        <f t="shared" si="0"/>
        <v>3</v>
      </c>
      <c r="B12" s="39" t="s">
        <v>127</v>
      </c>
      <c r="C12" s="41">
        <f>'Rate Class Customer Model'!D27</f>
        <v>1520.284044065904</v>
      </c>
      <c r="D12" s="5">
        <f>'Rate Class Energy Model'!D42</f>
        <v>1375278188.9321187</v>
      </c>
      <c r="E12" s="16">
        <f>'Rate Class Demand Model'!D22</f>
        <v>3472577</v>
      </c>
      <c r="F12" s="183">
        <f>'Rate Class Customer Model'!D28</f>
        <v>1507</v>
      </c>
      <c r="G12" s="5">
        <f>'Rate Class Energy Model'!D43</f>
        <v>1356339581.2559984</v>
      </c>
      <c r="H12" s="16">
        <f>'Rate Class Demand Model'!D23</f>
        <v>3424757</v>
      </c>
    </row>
    <row r="13" spans="1:8" x14ac:dyDescent="0.25">
      <c r="A13" s="73">
        <f t="shared" si="0"/>
        <v>4</v>
      </c>
      <c r="B13" s="133" t="s">
        <v>167</v>
      </c>
      <c r="C13" s="41"/>
      <c r="D13" s="5"/>
      <c r="E13" s="16"/>
      <c r="F13" s="183"/>
      <c r="G13" s="5"/>
      <c r="H13" s="16"/>
    </row>
    <row r="14" spans="1:8" x14ac:dyDescent="0.25">
      <c r="A14" s="73">
        <f t="shared" si="0"/>
        <v>5</v>
      </c>
      <c r="B14" s="39" t="s">
        <v>159</v>
      </c>
      <c r="C14" s="41">
        <f>'Rate Class Customer Model'!E33</f>
        <v>8.5967014501137751</v>
      </c>
      <c r="D14" s="5">
        <f>'Rate Class Energy Model'!E48</f>
        <v>34027713.451067165</v>
      </c>
      <c r="E14" s="16">
        <f>'Rate Class Demand Model'!F28</f>
        <v>72330.202499999999</v>
      </c>
      <c r="F14" s="183">
        <f>'Rate Class Customer Model'!E34</f>
        <v>9</v>
      </c>
      <c r="G14" s="5">
        <f>'Rate Class Energy Model'!E49</f>
        <v>30765107.162167553</v>
      </c>
      <c r="H14" s="16">
        <f>'Rate Class Demand Model'!F29</f>
        <v>72330.202499999999</v>
      </c>
    </row>
    <row r="15" spans="1:8" x14ac:dyDescent="0.25">
      <c r="A15" s="73"/>
      <c r="B15" s="288" t="s">
        <v>99</v>
      </c>
      <c r="C15" s="41"/>
      <c r="D15" s="5"/>
      <c r="E15" s="16">
        <f>'Rate Class Demand Model'!E28</f>
        <v>172800</v>
      </c>
      <c r="F15" s="183"/>
      <c r="G15" s="5"/>
      <c r="H15" s="16">
        <f>'Rate Class Demand Model'!E29</f>
        <v>172800</v>
      </c>
    </row>
    <row r="16" spans="1:8" x14ac:dyDescent="0.25">
      <c r="A16" s="73">
        <f>A14+1</f>
        <v>6</v>
      </c>
      <c r="B16" s="39" t="s">
        <v>5</v>
      </c>
      <c r="C16" s="41">
        <f>'Rate Class Customer Model'!F33</f>
        <v>1</v>
      </c>
      <c r="D16" s="5">
        <f>'Rate Class Energy Model'!F48</f>
        <v>97901443.054430395</v>
      </c>
      <c r="E16" s="16">
        <f>'Rate Class Demand Model'!$H$28</f>
        <v>186013</v>
      </c>
      <c r="F16" s="183">
        <f>'Rate Class Customer Model'!F34</f>
        <v>1</v>
      </c>
      <c r="G16" s="5">
        <f>'Rate Class Energy Model'!F49</f>
        <v>92148673.013821095</v>
      </c>
      <c r="H16" s="16">
        <f>'Rate Class Demand Model'!$H$29</f>
        <v>175082</v>
      </c>
    </row>
    <row r="17" spans="1:8" x14ac:dyDescent="0.25">
      <c r="A17" s="73">
        <f t="shared" si="0"/>
        <v>7</v>
      </c>
      <c r="B17" s="39" t="s">
        <v>75</v>
      </c>
      <c r="C17" s="41">
        <f>'Rate Class Customer Model'!G33</f>
        <v>38348.145033043264</v>
      </c>
      <c r="D17" s="5">
        <f>'Rate Class Energy Model'!$G$48</f>
        <v>15876132.043679912</v>
      </c>
      <c r="E17" s="16">
        <f>'Rate Class Demand Model'!$I$28</f>
        <v>44453</v>
      </c>
      <c r="F17" s="183">
        <f>'Rate Class Customer Model'!G34</f>
        <v>38898</v>
      </c>
      <c r="G17" s="5">
        <f>'Rate Class Energy Model'!$G$49</f>
        <v>14936832</v>
      </c>
      <c r="H17" s="16">
        <f>'Rate Class Demand Model'!$I$29</f>
        <v>41823</v>
      </c>
    </row>
    <row r="18" spans="1:8" x14ac:dyDescent="0.25">
      <c r="A18" s="73">
        <f t="shared" si="0"/>
        <v>8</v>
      </c>
      <c r="B18" s="39" t="s">
        <v>74</v>
      </c>
      <c r="C18" s="41">
        <f>'Rate Class Customer Model'!H33</f>
        <v>497.63083322600602</v>
      </c>
      <c r="D18" s="5">
        <f>'Rate Class Energy Model'!$H$48</f>
        <v>497133.20239277999</v>
      </c>
      <c r="E18" s="16">
        <f>'Rate Class Demand Model'!$J$28</f>
        <v>1342</v>
      </c>
      <c r="F18" s="183">
        <f>'Rate Class Customer Model'!$H$34</f>
        <v>476</v>
      </c>
      <c r="G18" s="5">
        <f>'Rate Class Energy Model'!$H$49</f>
        <v>462196</v>
      </c>
      <c r="H18" s="16">
        <f>'Rate Class Demand Model'!$J$29</f>
        <v>1248</v>
      </c>
    </row>
    <row r="19" spans="1:8" x14ac:dyDescent="0.25">
      <c r="A19" s="73">
        <f t="shared" si="0"/>
        <v>9</v>
      </c>
      <c r="B19" s="39" t="s">
        <v>6</v>
      </c>
      <c r="C19" s="41">
        <f>'Rate Class Customer Model'!$I$33</f>
        <v>1536.0177095006536</v>
      </c>
      <c r="D19" s="5">
        <f>'Rate Class Energy Model'!$I$48</f>
        <v>5369917.9124142854</v>
      </c>
      <c r="E19" s="16">
        <f>'Rate Class Demand Model'!$K$28</f>
        <v>0</v>
      </c>
      <c r="F19" s="183">
        <f>'Rate Class Customer Model'!$I$34</f>
        <v>1539</v>
      </c>
      <c r="G19" s="5">
        <f>'Rate Class Energy Model'!$I$49</f>
        <v>5323401</v>
      </c>
      <c r="H19" s="16">
        <f>'Rate Class Demand Model'!$K$29</f>
        <v>0</v>
      </c>
    </row>
    <row r="20" spans="1:8" x14ac:dyDescent="0.25">
      <c r="A20" s="138">
        <f t="shared" si="0"/>
        <v>10</v>
      </c>
      <c r="B20" s="181" t="s">
        <v>9</v>
      </c>
      <c r="C20" s="186">
        <f t="shared" ref="C20:H20" si="1">SUM(C10:C19)</f>
        <v>203493.58561244348</v>
      </c>
      <c r="D20" s="100">
        <f t="shared" si="1"/>
        <v>3140370612.1299844</v>
      </c>
      <c r="E20" s="166">
        <f t="shared" si="1"/>
        <v>3949515.2025000001</v>
      </c>
      <c r="F20" s="184">
        <f t="shared" si="1"/>
        <v>205744</v>
      </c>
      <c r="G20" s="100">
        <f t="shared" si="1"/>
        <v>3140370612.1299844</v>
      </c>
      <c r="H20" s="166">
        <f t="shared" si="1"/>
        <v>3888040.2025000001</v>
      </c>
    </row>
    <row r="21" spans="1:8" x14ac:dyDescent="0.25">
      <c r="A21" s="132"/>
    </row>
    <row r="22" spans="1:8" ht="15.75" x14ac:dyDescent="0.25">
      <c r="A22" s="271" t="s">
        <v>135</v>
      </c>
      <c r="B22" s="272"/>
      <c r="C22" s="272"/>
      <c r="D22" s="272"/>
      <c r="E22" s="272"/>
      <c r="F22" s="272"/>
      <c r="G22" s="272"/>
      <c r="H22" s="273"/>
    </row>
    <row r="23" spans="1:8" x14ac:dyDescent="0.25">
      <c r="A23" s="363" t="s">
        <v>71</v>
      </c>
      <c r="B23" s="365" t="s">
        <v>72</v>
      </c>
      <c r="C23" s="360">
        <v>2021</v>
      </c>
      <c r="D23" s="361"/>
      <c r="E23" s="362"/>
      <c r="F23" s="360">
        <v>2022</v>
      </c>
      <c r="G23" s="361"/>
      <c r="H23" s="362"/>
    </row>
    <row r="24" spans="1:8" x14ac:dyDescent="0.25">
      <c r="A24" s="364"/>
      <c r="B24" s="366"/>
      <c r="C24" s="214" t="s">
        <v>73</v>
      </c>
      <c r="D24" s="180" t="s">
        <v>14</v>
      </c>
      <c r="E24" s="167" t="s">
        <v>30</v>
      </c>
      <c r="F24" s="182" t="s">
        <v>73</v>
      </c>
      <c r="G24" s="180" t="s">
        <v>14</v>
      </c>
      <c r="H24" s="167" t="s">
        <v>30</v>
      </c>
    </row>
    <row r="25" spans="1:8" x14ac:dyDescent="0.25">
      <c r="A25" s="215">
        <v>1</v>
      </c>
      <c r="B25" s="39" t="s">
        <v>2</v>
      </c>
      <c r="C25" s="41">
        <f t="shared" ref="C25:H25" si="2">C10</f>
        <v>148601.06295987862</v>
      </c>
      <c r="D25" s="5">
        <f t="shared" si="2"/>
        <v>1230987469.6565385</v>
      </c>
      <c r="E25" s="16">
        <f t="shared" si="2"/>
        <v>0</v>
      </c>
      <c r="F25" s="183">
        <f t="shared" si="2"/>
        <v>150243</v>
      </c>
      <c r="G25" s="5">
        <f t="shared" si="2"/>
        <v>1262245325.811132</v>
      </c>
      <c r="H25" s="16">
        <f t="shared" si="2"/>
        <v>0</v>
      </c>
    </row>
    <row r="26" spans="1:8" x14ac:dyDescent="0.25">
      <c r="A26" s="215">
        <f>A25+1</f>
        <v>2</v>
      </c>
      <c r="B26" s="39" t="s">
        <v>126</v>
      </c>
      <c r="C26" s="41">
        <f>C11</f>
        <v>12980.848331278936</v>
      </c>
      <c r="D26" s="5">
        <f t="shared" ref="D26:H26" si="3">D11</f>
        <v>380432613.87734354</v>
      </c>
      <c r="E26" s="16">
        <f t="shared" si="3"/>
        <v>0</v>
      </c>
      <c r="F26" s="183">
        <f t="shared" si="3"/>
        <v>13071</v>
      </c>
      <c r="G26" s="5">
        <f t="shared" si="3"/>
        <v>378149495.88686538</v>
      </c>
      <c r="H26" s="16">
        <f t="shared" si="3"/>
        <v>0</v>
      </c>
    </row>
    <row r="27" spans="1:8" x14ac:dyDescent="0.25">
      <c r="A27" s="215">
        <f t="shared" ref="A27:A35" si="4">A26+1</f>
        <v>3</v>
      </c>
      <c r="B27" s="39" t="s">
        <v>127</v>
      </c>
      <c r="C27" s="41">
        <f>C12</f>
        <v>1520.284044065904</v>
      </c>
      <c r="D27" s="5">
        <f t="shared" ref="D27:H27" si="5">D12</f>
        <v>1375278188.9321187</v>
      </c>
      <c r="E27" s="16">
        <f t="shared" si="5"/>
        <v>3472577</v>
      </c>
      <c r="F27" s="183">
        <f t="shared" si="5"/>
        <v>1507</v>
      </c>
      <c r="G27" s="5">
        <f t="shared" si="5"/>
        <v>1356339581.2559984</v>
      </c>
      <c r="H27" s="16">
        <f t="shared" si="5"/>
        <v>3424757</v>
      </c>
    </row>
    <row r="28" spans="1:8" x14ac:dyDescent="0.25">
      <c r="A28" s="215">
        <f t="shared" si="4"/>
        <v>4</v>
      </c>
      <c r="B28" s="133" t="s">
        <v>167</v>
      </c>
      <c r="C28" s="41">
        <f>WMP!D16</f>
        <v>4</v>
      </c>
      <c r="D28" s="5">
        <f>WMP!D28</f>
        <v>14942995.718512764</v>
      </c>
      <c r="E28" s="16">
        <f>WMP!D45</f>
        <v>27448.685521272113</v>
      </c>
      <c r="F28" s="183">
        <f>WMP!D17</f>
        <v>4</v>
      </c>
      <c r="G28" s="5">
        <f>WMP!D29</f>
        <v>14791025.032905914</v>
      </c>
      <c r="H28" s="16">
        <f>WMP!D46</f>
        <v>27169.531619587819</v>
      </c>
    </row>
    <row r="29" spans="1:8" x14ac:dyDescent="0.25">
      <c r="A29" s="215">
        <f t="shared" si="4"/>
        <v>5</v>
      </c>
      <c r="B29" s="39" t="s">
        <v>159</v>
      </c>
      <c r="C29" s="41">
        <f t="shared" ref="C29:H29" si="6">C14</f>
        <v>8.5967014501137751</v>
      </c>
      <c r="D29" s="5">
        <f>(D$14/SUM(E$14:E$15))*E14</f>
        <v>10040506.552951841</v>
      </c>
      <c r="E29" s="16">
        <f t="shared" si="6"/>
        <v>72330.202499999999</v>
      </c>
      <c r="F29" s="183">
        <f t="shared" si="6"/>
        <v>9</v>
      </c>
      <c r="G29" s="5">
        <f>(G$14/SUM(H$14:H$15))*H14</f>
        <v>9077814.1913123876</v>
      </c>
      <c r="H29" s="16">
        <f t="shared" si="6"/>
        <v>72330.202499999999</v>
      </c>
    </row>
    <row r="30" spans="1:8" x14ac:dyDescent="0.25">
      <c r="A30" s="215"/>
      <c r="B30" s="288" t="s">
        <v>99</v>
      </c>
      <c r="C30" s="41"/>
      <c r="D30" s="5">
        <f>(D$14/SUM(E$14:E$15))*E15</f>
        <v>23987206.898115322</v>
      </c>
      <c r="E30" s="16">
        <f>'Rate Class Demand Model'!E28</f>
        <v>172800</v>
      </c>
      <c r="F30" s="183"/>
      <c r="G30" s="5">
        <f>(G$14/SUM(H$14:H$15))*H15</f>
        <v>21687292.970855162</v>
      </c>
      <c r="H30" s="16">
        <f>'Rate Class Demand Model'!E29</f>
        <v>172800</v>
      </c>
    </row>
    <row r="31" spans="1:8" x14ac:dyDescent="0.25">
      <c r="A31" s="215">
        <f>A29+1</f>
        <v>6</v>
      </c>
      <c r="B31" s="39" t="s">
        <v>5</v>
      </c>
      <c r="C31" s="41">
        <f t="shared" ref="C31:H31" si="7">C16</f>
        <v>1</v>
      </c>
      <c r="D31" s="5">
        <f t="shared" si="7"/>
        <v>97901443.054430395</v>
      </c>
      <c r="E31" s="16">
        <f t="shared" si="7"/>
        <v>186013</v>
      </c>
      <c r="F31" s="183">
        <f t="shared" si="7"/>
        <v>1</v>
      </c>
      <c r="G31" s="5">
        <f t="shared" si="7"/>
        <v>92148673.013821095</v>
      </c>
      <c r="H31" s="16">
        <f t="shared" si="7"/>
        <v>175082</v>
      </c>
    </row>
    <row r="32" spans="1:8" x14ac:dyDescent="0.25">
      <c r="A32" s="215">
        <f t="shared" si="4"/>
        <v>7</v>
      </c>
      <c r="B32" s="39" t="s">
        <v>75</v>
      </c>
      <c r="C32" s="41">
        <f t="shared" ref="C32:H32" si="8">C17</f>
        <v>38348.145033043264</v>
      </c>
      <c r="D32" s="5">
        <f t="shared" si="8"/>
        <v>15876132.043679912</v>
      </c>
      <c r="E32" s="16">
        <f t="shared" si="8"/>
        <v>44453</v>
      </c>
      <c r="F32" s="183">
        <f t="shared" si="8"/>
        <v>38898</v>
      </c>
      <c r="G32" s="5">
        <f t="shared" si="8"/>
        <v>14936832</v>
      </c>
      <c r="H32" s="16">
        <f t="shared" si="8"/>
        <v>41823</v>
      </c>
    </row>
    <row r="33" spans="1:8" x14ac:dyDescent="0.25">
      <c r="A33" s="215">
        <f t="shared" si="4"/>
        <v>8</v>
      </c>
      <c r="B33" s="39" t="s">
        <v>74</v>
      </c>
      <c r="C33" s="41">
        <f t="shared" ref="C33:H33" si="9">C18</f>
        <v>497.63083322600602</v>
      </c>
      <c r="D33" s="5">
        <f t="shared" si="9"/>
        <v>497133.20239277999</v>
      </c>
      <c r="E33" s="16">
        <f t="shared" si="9"/>
        <v>1342</v>
      </c>
      <c r="F33" s="183">
        <f t="shared" si="9"/>
        <v>476</v>
      </c>
      <c r="G33" s="5">
        <f t="shared" si="9"/>
        <v>462196</v>
      </c>
      <c r="H33" s="16">
        <f t="shared" si="9"/>
        <v>1248</v>
      </c>
    </row>
    <row r="34" spans="1:8" x14ac:dyDescent="0.25">
      <c r="A34" s="215">
        <f t="shared" si="4"/>
        <v>9</v>
      </c>
      <c r="B34" s="39" t="s">
        <v>6</v>
      </c>
      <c r="C34" s="41">
        <f t="shared" ref="C34:H34" si="10">C19</f>
        <v>1536.0177095006536</v>
      </c>
      <c r="D34" s="5">
        <f t="shared" si="10"/>
        <v>5369917.9124142854</v>
      </c>
      <c r="E34" s="16">
        <f t="shared" si="10"/>
        <v>0</v>
      </c>
      <c r="F34" s="183">
        <f t="shared" si="10"/>
        <v>1539</v>
      </c>
      <c r="G34" s="5">
        <f t="shared" si="10"/>
        <v>5323401</v>
      </c>
      <c r="H34" s="16">
        <f t="shared" si="10"/>
        <v>0</v>
      </c>
    </row>
    <row r="35" spans="1:8" x14ac:dyDescent="0.25">
      <c r="A35" s="216">
        <f t="shared" si="4"/>
        <v>10</v>
      </c>
      <c r="B35" s="217" t="s">
        <v>9</v>
      </c>
      <c r="C35" s="186">
        <f t="shared" ref="C35:H35" si="11">SUM(C25:C34)</f>
        <v>203497.58561244348</v>
      </c>
      <c r="D35" s="100">
        <f t="shared" si="11"/>
        <v>3155313607.8484969</v>
      </c>
      <c r="E35" s="166">
        <f t="shared" si="11"/>
        <v>3976963.8880212721</v>
      </c>
      <c r="F35" s="184">
        <f t="shared" si="11"/>
        <v>205748</v>
      </c>
      <c r="G35" s="100">
        <f t="shared" si="11"/>
        <v>3155161637.1628904</v>
      </c>
      <c r="H35" s="166">
        <f t="shared" si="11"/>
        <v>3915209.734119588</v>
      </c>
    </row>
    <row r="36" spans="1:8" x14ac:dyDescent="0.25">
      <c r="A36" s="218"/>
    </row>
    <row r="37" spans="1:8" x14ac:dyDescent="0.25">
      <c r="A37" s="132"/>
      <c r="C37" s="2">
        <f>C20-C35+C28</f>
        <v>0</v>
      </c>
      <c r="D37" s="2">
        <f>D20-D35+D28</f>
        <v>2.2910535335540771E-7</v>
      </c>
      <c r="E37" s="2">
        <f>E20-E35+E28</f>
        <v>1.0186340659856796E-10</v>
      </c>
      <c r="F37" s="2">
        <f t="shared" ref="F37:H37" si="12">F20-F35+F28</f>
        <v>0</v>
      </c>
      <c r="G37" s="2">
        <f t="shared" si="12"/>
        <v>-1.4156103134155273E-7</v>
      </c>
      <c r="H37" s="2">
        <f t="shared" si="12"/>
        <v>-9.4587448984384537E-11</v>
      </c>
    </row>
    <row r="40" spans="1:8" x14ac:dyDescent="0.25">
      <c r="B40" t="s">
        <v>224</v>
      </c>
      <c r="F40" s="2">
        <f t="shared" ref="F40:H41" si="13">F25</f>
        <v>150243</v>
      </c>
      <c r="G40" s="2">
        <f t="shared" si="13"/>
        <v>1262245325.811132</v>
      </c>
      <c r="H40" s="2">
        <f t="shared" si="13"/>
        <v>0</v>
      </c>
    </row>
    <row r="41" spans="1:8" x14ac:dyDescent="0.25">
      <c r="B41" t="s">
        <v>225</v>
      </c>
      <c r="F41" s="2">
        <f t="shared" si="13"/>
        <v>13071</v>
      </c>
      <c r="G41" s="2">
        <f t="shared" si="13"/>
        <v>378149495.88686538</v>
      </c>
      <c r="H41" s="2">
        <f t="shared" si="13"/>
        <v>0</v>
      </c>
    </row>
    <row r="42" spans="1:8" x14ac:dyDescent="0.25">
      <c r="B42" t="s">
        <v>226</v>
      </c>
      <c r="F42" s="2">
        <f>F27+F28</f>
        <v>1511</v>
      </c>
      <c r="G42" s="2">
        <f>G27+G28</f>
        <v>1371130606.2889042</v>
      </c>
      <c r="H42" s="2">
        <f>H27+H28</f>
        <v>3451926.5316195879</v>
      </c>
    </row>
    <row r="43" spans="1:8" x14ac:dyDescent="0.25">
      <c r="B43" t="s">
        <v>227</v>
      </c>
      <c r="F43" s="2">
        <f>F29+F30</f>
        <v>9</v>
      </c>
      <c r="G43" s="2">
        <f>G29+G30</f>
        <v>30765107.162167549</v>
      </c>
      <c r="H43" s="2">
        <f>H29+H30</f>
        <v>245130.20250000001</v>
      </c>
    </row>
    <row r="44" spans="1:8" x14ac:dyDescent="0.25">
      <c r="B44" t="s">
        <v>228</v>
      </c>
      <c r="F44" s="2">
        <f>F31</f>
        <v>1</v>
      </c>
      <c r="G44" s="2">
        <f>G31</f>
        <v>92148673.013821095</v>
      </c>
      <c r="H44" s="2">
        <f>H31</f>
        <v>175082</v>
      </c>
    </row>
    <row r="45" spans="1:8" x14ac:dyDescent="0.25">
      <c r="B45" t="s">
        <v>229</v>
      </c>
      <c r="F45" s="2">
        <f t="shared" ref="F45" si="14">F32</f>
        <v>38898</v>
      </c>
      <c r="G45" s="2">
        <f t="shared" ref="G45:H47" si="15">G32</f>
        <v>14936832</v>
      </c>
      <c r="H45" s="2">
        <f t="shared" si="15"/>
        <v>41823</v>
      </c>
    </row>
    <row r="46" spans="1:8" x14ac:dyDescent="0.25">
      <c r="B46" t="s">
        <v>230</v>
      </c>
      <c r="F46" s="2">
        <f t="shared" ref="F46" si="16">F33</f>
        <v>476</v>
      </c>
      <c r="G46" s="2">
        <f t="shared" si="15"/>
        <v>462196</v>
      </c>
      <c r="H46" s="2">
        <f t="shared" si="15"/>
        <v>1248</v>
      </c>
    </row>
    <row r="47" spans="1:8" x14ac:dyDescent="0.25">
      <c r="B47" t="s">
        <v>231</v>
      </c>
      <c r="F47" s="2">
        <f t="shared" ref="F47" si="17">F34</f>
        <v>1539</v>
      </c>
      <c r="G47" s="2">
        <f t="shared" si="15"/>
        <v>5323401</v>
      </c>
      <c r="H47" s="2">
        <f t="shared" si="15"/>
        <v>0</v>
      </c>
    </row>
    <row r="48" spans="1:8" x14ac:dyDescent="0.25">
      <c r="B48" t="s">
        <v>232</v>
      </c>
      <c r="F48" s="2">
        <f>SUM(F40:F47)</f>
        <v>205748</v>
      </c>
      <c r="G48" s="2">
        <f>SUM(G40:G47)</f>
        <v>3155161637.16289</v>
      </c>
      <c r="H48" s="2">
        <f>SUM(H40:H47)</f>
        <v>3915209.734119588</v>
      </c>
    </row>
  </sheetData>
  <mergeCells count="8">
    <mergeCell ref="B8:B9"/>
    <mergeCell ref="A8:A9"/>
    <mergeCell ref="C8:E8"/>
    <mergeCell ref="F8:H8"/>
    <mergeCell ref="A23:A24"/>
    <mergeCell ref="B23:B24"/>
    <mergeCell ref="C23:E23"/>
    <mergeCell ref="F23:H23"/>
  </mergeCells>
  <pageMargins left="0.7" right="0.7" top="0.75" bottom="0.75" header="0.3" footer="0.3"/>
  <pageSetup scale="95" orientation="landscape" r:id="rId1"/>
  <headerFooter>
    <oddFooter>&amp;R&amp;P/&amp;N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C4:Q24"/>
  <sheetViews>
    <sheetView workbookViewId="0">
      <selection activeCell="F31" sqref="F31"/>
    </sheetView>
  </sheetViews>
  <sheetFormatPr defaultColWidth="9.28515625" defaultRowHeight="15" x14ac:dyDescent="0.25"/>
  <cols>
    <col min="3" max="3" width="66" bestFit="1" customWidth="1"/>
    <col min="5" max="5" width="26.42578125" customWidth="1"/>
    <col min="6" max="6" width="13.42578125" bestFit="1" customWidth="1"/>
    <col min="7" max="7" width="20.7109375" customWidth="1"/>
    <col min="8" max="8" width="18.28515625" customWidth="1"/>
    <col min="10" max="10" width="23.5703125" customWidth="1"/>
    <col min="12" max="12" width="27.5703125" customWidth="1"/>
    <col min="13" max="13" width="19" customWidth="1"/>
    <col min="17" max="17" width="12.140625" bestFit="1" customWidth="1"/>
  </cols>
  <sheetData>
    <row r="4" spans="3:17" ht="15.75" thickBot="1" x14ac:dyDescent="0.3"/>
    <row r="5" spans="3:17" ht="16.5" thickBot="1" x14ac:dyDescent="0.3">
      <c r="C5" s="335"/>
      <c r="D5" s="335"/>
      <c r="E5" s="367" t="s">
        <v>204</v>
      </c>
      <c r="F5" s="368"/>
      <c r="G5" s="368"/>
      <c r="H5" s="369"/>
      <c r="I5" s="339"/>
      <c r="J5" s="336"/>
      <c r="K5" s="339"/>
      <c r="L5" s="340"/>
      <c r="M5" s="339"/>
      <c r="N5" s="339"/>
      <c r="O5" s="339"/>
      <c r="P5" s="339"/>
      <c r="Q5" s="339"/>
    </row>
    <row r="6" spans="3:17" ht="32.25" customHeight="1" x14ac:dyDescent="0.25">
      <c r="C6" s="341" t="s">
        <v>72</v>
      </c>
      <c r="D6" s="336"/>
      <c r="E6" s="336" t="s">
        <v>205</v>
      </c>
      <c r="F6" s="336" t="s">
        <v>27</v>
      </c>
      <c r="G6" s="336" t="s">
        <v>206</v>
      </c>
      <c r="H6" s="336" t="s">
        <v>207</v>
      </c>
      <c r="I6" s="339"/>
      <c r="J6" s="336" t="s">
        <v>208</v>
      </c>
      <c r="K6" s="339"/>
      <c r="L6" s="336" t="s">
        <v>209</v>
      </c>
      <c r="M6" s="336" t="s">
        <v>210</v>
      </c>
      <c r="N6" s="339"/>
      <c r="O6" s="336" t="s">
        <v>211</v>
      </c>
      <c r="P6" s="339"/>
      <c r="Q6" s="336" t="s">
        <v>212</v>
      </c>
    </row>
    <row r="7" spans="3:17" ht="15.75" x14ac:dyDescent="0.25">
      <c r="C7" s="342"/>
      <c r="D7" s="336"/>
      <c r="E7" s="336"/>
      <c r="F7" s="336"/>
      <c r="G7" s="336"/>
      <c r="H7" s="336"/>
      <c r="I7" s="339"/>
      <c r="J7" s="336"/>
      <c r="K7" s="339"/>
      <c r="L7" s="336"/>
      <c r="M7" s="336"/>
      <c r="N7" s="339"/>
      <c r="O7" s="339"/>
      <c r="P7" s="339"/>
      <c r="Q7" s="339"/>
    </row>
    <row r="8" spans="3:17" ht="15.75" x14ac:dyDescent="0.25">
      <c r="C8" s="343" t="s">
        <v>2</v>
      </c>
      <c r="D8" s="335"/>
      <c r="E8" s="344">
        <f>Summary!F25</f>
        <v>150243</v>
      </c>
      <c r="F8" s="344">
        <f>Summary!G25</f>
        <v>1262245325.811132</v>
      </c>
      <c r="G8" s="344">
        <v>0</v>
      </c>
      <c r="H8" s="344"/>
      <c r="I8" s="345"/>
      <c r="J8" s="344"/>
      <c r="K8" s="339"/>
      <c r="L8" s="346"/>
      <c r="M8" s="347"/>
      <c r="N8" s="345"/>
      <c r="O8" s="348"/>
      <c r="P8" s="345"/>
      <c r="Q8" s="349"/>
    </row>
    <row r="9" spans="3:17" ht="15.75" x14ac:dyDescent="0.25">
      <c r="C9" s="343" t="s">
        <v>213</v>
      </c>
      <c r="D9" s="335"/>
      <c r="E9" s="344">
        <f>Summary!F26</f>
        <v>13071</v>
      </c>
      <c r="F9" s="344">
        <f>Summary!G26</f>
        <v>378149495.88686538</v>
      </c>
      <c r="G9" s="344">
        <v>0</v>
      </c>
      <c r="H9" s="344"/>
      <c r="I9" s="345"/>
      <c r="J9" s="344"/>
      <c r="K9" s="339"/>
      <c r="L9" s="346"/>
      <c r="M9" s="347"/>
      <c r="N9" s="345"/>
      <c r="O9" s="348"/>
      <c r="P9" s="345"/>
      <c r="Q9" s="349"/>
    </row>
    <row r="10" spans="3:17" ht="15.75" x14ac:dyDescent="0.25">
      <c r="C10" s="343" t="s">
        <v>214</v>
      </c>
      <c r="D10" s="335"/>
      <c r="E10" s="344">
        <f>Summary!F27+Summary!F28</f>
        <v>1511</v>
      </c>
      <c r="F10" s="344">
        <f>Summary!G27+Summary!G28</f>
        <v>1371130606.2889042</v>
      </c>
      <c r="G10" s="344">
        <f>Summary!H27+Summary!H28</f>
        <v>3451926.5316195879</v>
      </c>
      <c r="H10" s="344">
        <f>'Transformer Allowance'!D37</f>
        <v>980916.7510158706</v>
      </c>
      <c r="I10" s="345"/>
      <c r="J10" s="344">
        <f>Summary!G28</f>
        <v>14791025.032905914</v>
      </c>
      <c r="K10" s="339"/>
      <c r="L10" s="346"/>
      <c r="M10" s="347"/>
      <c r="N10" s="345"/>
      <c r="O10" s="348">
        <f>Summary!H28</f>
        <v>27169.531619587819</v>
      </c>
      <c r="P10" s="345"/>
      <c r="Q10" s="349"/>
    </row>
    <row r="11" spans="3:17" ht="15.75" x14ac:dyDescent="0.25">
      <c r="C11" s="343" t="s">
        <v>215</v>
      </c>
      <c r="D11" s="335"/>
      <c r="E11" s="344"/>
      <c r="F11" s="344"/>
      <c r="G11" s="344"/>
      <c r="H11" s="344"/>
      <c r="I11" s="345"/>
      <c r="J11" s="344"/>
      <c r="K11" s="339"/>
      <c r="L11" s="346"/>
      <c r="M11" s="347"/>
      <c r="N11" s="345"/>
      <c r="O11" s="348"/>
      <c r="P11" s="345"/>
      <c r="Q11" s="349"/>
    </row>
    <row r="12" spans="3:17" ht="15.75" x14ac:dyDescent="0.25">
      <c r="C12" s="343" t="s">
        <v>216</v>
      </c>
      <c r="D12" s="335"/>
      <c r="E12" s="344">
        <f>Summary!F29</f>
        <v>9</v>
      </c>
      <c r="F12" s="344">
        <f>Summary!G29+Summary!G30</f>
        <v>30765107.162167549</v>
      </c>
      <c r="G12" s="344">
        <f>Summary!H29</f>
        <v>72330.202499999999</v>
      </c>
      <c r="H12" s="344">
        <f>'Transformer Allowance'!F37</f>
        <v>67206.213688299802</v>
      </c>
      <c r="I12" s="345"/>
      <c r="J12" s="344"/>
      <c r="K12" s="339"/>
      <c r="L12" s="346"/>
      <c r="M12" s="347"/>
      <c r="N12" s="345"/>
      <c r="O12" s="348"/>
      <c r="P12" s="345"/>
      <c r="Q12" s="349"/>
    </row>
    <row r="13" spans="3:17" ht="15.75" x14ac:dyDescent="0.25">
      <c r="C13" s="343" t="s">
        <v>217</v>
      </c>
      <c r="D13" s="335"/>
      <c r="E13" s="344"/>
      <c r="F13" s="344"/>
      <c r="G13" s="344">
        <f>Summary!H30</f>
        <v>172800</v>
      </c>
      <c r="H13" s="344">
        <f>'Transformer Allowance'!E37</f>
        <v>172800</v>
      </c>
      <c r="I13" s="345"/>
      <c r="J13" s="344"/>
      <c r="K13" s="339"/>
      <c r="L13" s="346"/>
      <c r="M13" s="347"/>
      <c r="N13" s="345"/>
      <c r="O13" s="348"/>
      <c r="P13" s="345"/>
      <c r="Q13" s="349"/>
    </row>
    <row r="14" spans="3:17" ht="15.75" x14ac:dyDescent="0.25">
      <c r="C14" s="343" t="s">
        <v>5</v>
      </c>
      <c r="D14" s="335"/>
      <c r="E14" s="344">
        <f>Summary!F31</f>
        <v>1</v>
      </c>
      <c r="F14" s="344">
        <f>Summary!G31</f>
        <v>92148673.013821095</v>
      </c>
      <c r="G14" s="344">
        <f>Summary!H31</f>
        <v>175082</v>
      </c>
      <c r="H14" s="344"/>
      <c r="I14" s="345"/>
      <c r="J14" s="344"/>
      <c r="K14" s="339"/>
      <c r="L14" s="346"/>
      <c r="M14" s="347"/>
      <c r="N14" s="345"/>
      <c r="O14" s="348"/>
      <c r="P14" s="345"/>
      <c r="Q14" s="349"/>
    </row>
    <row r="15" spans="3:17" ht="15.75" x14ac:dyDescent="0.25">
      <c r="C15" s="343" t="s">
        <v>7</v>
      </c>
      <c r="D15" s="335"/>
      <c r="E15" s="344">
        <f>Summary!F32</f>
        <v>38898</v>
      </c>
      <c r="F15" s="344">
        <f>Summary!G32</f>
        <v>14936832</v>
      </c>
      <c r="G15" s="344">
        <f>Summary!H32</f>
        <v>41823</v>
      </c>
      <c r="H15" s="344"/>
      <c r="I15" s="345"/>
      <c r="J15" s="344"/>
      <c r="K15" s="339"/>
      <c r="L15" s="346"/>
      <c r="M15" s="347"/>
      <c r="N15" s="345"/>
      <c r="O15" s="348"/>
      <c r="P15" s="345"/>
      <c r="Q15" s="349"/>
    </row>
    <row r="16" spans="3:17" ht="15.75" x14ac:dyDescent="0.25">
      <c r="C16" s="343" t="s">
        <v>8</v>
      </c>
      <c r="D16" s="335"/>
      <c r="E16" s="344">
        <f>Summary!F33</f>
        <v>476</v>
      </c>
      <c r="F16" s="344">
        <f>Summary!G33</f>
        <v>462196</v>
      </c>
      <c r="G16" s="344">
        <f>Summary!H33</f>
        <v>1248</v>
      </c>
      <c r="H16" s="344"/>
      <c r="I16" s="345"/>
      <c r="J16" s="344"/>
      <c r="K16" s="339"/>
      <c r="L16" s="346"/>
      <c r="M16" s="347"/>
      <c r="N16" s="345"/>
      <c r="O16" s="348"/>
      <c r="P16" s="345"/>
      <c r="Q16" s="349"/>
    </row>
    <row r="17" spans="3:17" ht="15.75" x14ac:dyDescent="0.25">
      <c r="C17" s="343" t="s">
        <v>6</v>
      </c>
      <c r="D17" s="335"/>
      <c r="E17" s="344">
        <f>Summary!F34</f>
        <v>1539</v>
      </c>
      <c r="F17" s="344">
        <f>Summary!G34</f>
        <v>5323401</v>
      </c>
      <c r="G17" s="344">
        <v>0</v>
      </c>
      <c r="H17" s="344"/>
      <c r="I17" s="345"/>
      <c r="J17" s="344"/>
      <c r="K17" s="339"/>
      <c r="L17" s="346"/>
      <c r="M17" s="347"/>
      <c r="N17" s="345"/>
      <c r="O17" s="348"/>
      <c r="P17" s="345"/>
      <c r="Q17" s="349"/>
    </row>
    <row r="18" spans="3:17" ht="15.75" x14ac:dyDescent="0.25">
      <c r="C18" s="343" t="s">
        <v>191</v>
      </c>
      <c r="D18" s="335"/>
      <c r="E18" s="344">
        <v>0</v>
      </c>
      <c r="F18" s="344">
        <v>0</v>
      </c>
      <c r="G18" s="344">
        <v>0</v>
      </c>
      <c r="H18" s="344">
        <v>0</v>
      </c>
      <c r="I18" s="345"/>
      <c r="J18" s="344">
        <v>0</v>
      </c>
      <c r="K18" s="339"/>
      <c r="L18" s="346"/>
      <c r="M18" s="347"/>
      <c r="N18" s="345"/>
      <c r="O18" s="348">
        <v>0</v>
      </c>
      <c r="P18" s="345"/>
      <c r="Q18" s="349"/>
    </row>
    <row r="19" spans="3:17" ht="15.75" x14ac:dyDescent="0.25">
      <c r="C19" s="335"/>
      <c r="D19" s="335"/>
      <c r="E19" s="338">
        <f>SUM(E8:E18)</f>
        <v>205748</v>
      </c>
      <c r="F19" s="338">
        <f>SUM(F8:F18)</f>
        <v>3155161637.16289</v>
      </c>
      <c r="G19" s="338">
        <f>SUM(G8:G18)</f>
        <v>3915209.734119588</v>
      </c>
      <c r="H19" s="338">
        <f>SUM(H8:H18)</f>
        <v>1220922.9647041704</v>
      </c>
      <c r="I19" s="339"/>
      <c r="J19" s="338">
        <f>SUM(J8:J18)</f>
        <v>14791025.032905914</v>
      </c>
      <c r="K19" s="338"/>
      <c r="L19" s="338"/>
      <c r="M19" s="338"/>
      <c r="N19" s="338"/>
      <c r="O19" s="338">
        <f>SUM(O8:O18)</f>
        <v>27169.531619587819</v>
      </c>
      <c r="P19" s="338"/>
      <c r="Q19" s="338"/>
    </row>
    <row r="20" spans="3:17" x14ac:dyDescent="0.25">
      <c r="F20" s="337"/>
      <c r="G20" s="337"/>
    </row>
    <row r="21" spans="3:17" x14ac:dyDescent="0.25">
      <c r="F21" s="337"/>
      <c r="G21" s="337"/>
    </row>
    <row r="24" spans="3:17" x14ac:dyDescent="0.25">
      <c r="E24" s="338">
        <f>Summary!F35</f>
        <v>205748</v>
      </c>
      <c r="F24" s="338">
        <f>Summary!G35</f>
        <v>3155161637.1628904</v>
      </c>
      <c r="G24" s="338">
        <f>Summary!H35</f>
        <v>3915209.734119588</v>
      </c>
      <c r="H24" s="338">
        <f>'Transformer Allowance'!L37</f>
        <v>1220922.9647041704</v>
      </c>
    </row>
  </sheetData>
  <mergeCells count="1">
    <mergeCell ref="E5:H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C6"/>
  <sheetViews>
    <sheetView workbookViewId="0">
      <selection activeCell="C23" sqref="C23"/>
    </sheetView>
  </sheetViews>
  <sheetFormatPr defaultRowHeight="15" x14ac:dyDescent="0.25"/>
  <cols>
    <col min="2" max="2" width="34.28515625" customWidth="1"/>
    <col min="3" max="3" width="11.42578125" customWidth="1"/>
  </cols>
  <sheetData>
    <row r="3" spans="2:3" x14ac:dyDescent="0.25">
      <c r="B3" t="s">
        <v>233</v>
      </c>
    </row>
    <row r="5" spans="2:3" x14ac:dyDescent="0.25">
      <c r="B5" t="s">
        <v>234</v>
      </c>
      <c r="C5">
        <f>Summary!F27+Summary!F28</f>
        <v>1511</v>
      </c>
    </row>
    <row r="6" spans="2:3" x14ac:dyDescent="0.25">
      <c r="B6" t="s">
        <v>235</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H83"/>
  <sheetViews>
    <sheetView topLeftCell="A4" workbookViewId="0">
      <selection activeCell="E34" sqref="E34:E42"/>
    </sheetView>
  </sheetViews>
  <sheetFormatPr defaultRowHeight="15" x14ac:dyDescent="0.25"/>
  <cols>
    <col min="1" max="1" width="6.7109375" customWidth="1"/>
    <col min="2" max="2" width="35.7109375" customWidth="1"/>
    <col min="3" max="5" width="14.28515625" bestFit="1" customWidth="1"/>
    <col min="6" max="8" width="12.7109375" customWidth="1"/>
  </cols>
  <sheetData>
    <row r="1" spans="1:8" ht="18.75" x14ac:dyDescent="0.3">
      <c r="A1" s="24" t="str">
        <f>Admin!B3</f>
        <v>London Hydro</v>
      </c>
    </row>
    <row r="2" spans="1:8" ht="18.75" x14ac:dyDescent="0.3">
      <c r="A2" s="24" t="str">
        <f>Admin!B5</f>
        <v>EB-2021-0041</v>
      </c>
    </row>
    <row r="3" spans="1:8" ht="18.75" x14ac:dyDescent="0.3">
      <c r="A3" s="24" t="str">
        <f>Admin!B7</f>
        <v>2022 Load Forecast</v>
      </c>
    </row>
    <row r="4" spans="1:8" ht="18.75" x14ac:dyDescent="0.3">
      <c r="A4" s="24"/>
    </row>
    <row r="5" spans="1:8" ht="19.5" thickBot="1" x14ac:dyDescent="0.35">
      <c r="A5" s="26" t="s">
        <v>116</v>
      </c>
      <c r="B5" s="27"/>
      <c r="C5" s="27"/>
      <c r="D5" s="27"/>
      <c r="E5" s="27"/>
      <c r="F5" s="27"/>
      <c r="G5" s="27"/>
      <c r="H5" s="27"/>
    </row>
    <row r="7" spans="1:8" x14ac:dyDescent="0.25">
      <c r="B7" s="85" t="s">
        <v>152</v>
      </c>
      <c r="C7" s="110">
        <v>2016</v>
      </c>
      <c r="D7" s="53">
        <v>2017</v>
      </c>
    </row>
    <row r="8" spans="1:8" x14ac:dyDescent="0.25">
      <c r="B8" s="11" t="s">
        <v>110</v>
      </c>
      <c r="C8" s="163">
        <v>1.0349999999999999</v>
      </c>
      <c r="D8" s="280">
        <v>1.0349999999999999</v>
      </c>
    </row>
    <row r="9" spans="1:8" x14ac:dyDescent="0.25">
      <c r="B9" s="32" t="s">
        <v>111</v>
      </c>
      <c r="C9" s="7">
        <v>1.0136000000000001</v>
      </c>
      <c r="D9" s="45">
        <v>1.0136000000000001</v>
      </c>
    </row>
    <row r="10" spans="1:8" x14ac:dyDescent="0.25">
      <c r="B10" s="32" t="s">
        <v>112</v>
      </c>
      <c r="C10" s="7">
        <v>1.0246</v>
      </c>
      <c r="D10" s="45">
        <v>1.0246</v>
      </c>
    </row>
    <row r="11" spans="1:8" x14ac:dyDescent="0.25">
      <c r="B11" s="34" t="s">
        <v>113</v>
      </c>
      <c r="C11" s="164">
        <v>1.0035000000000001</v>
      </c>
      <c r="D11" s="165">
        <v>1.0035000000000001</v>
      </c>
    </row>
    <row r="13" spans="1:8" x14ac:dyDescent="0.25">
      <c r="F13" s="213" t="s">
        <v>153</v>
      </c>
      <c r="G13" s="213" t="s">
        <v>183</v>
      </c>
    </row>
    <row r="24" spans="1:4" ht="45" x14ac:dyDescent="0.25">
      <c r="A24" s="40" t="s">
        <v>71</v>
      </c>
      <c r="B24" s="14" t="s">
        <v>154</v>
      </c>
      <c r="C24" s="102" t="s">
        <v>90</v>
      </c>
      <c r="D24" s="103" t="s">
        <v>91</v>
      </c>
    </row>
    <row r="25" spans="1:4" s="28" customFormat="1" ht="30" customHeight="1" x14ac:dyDescent="0.25">
      <c r="A25" s="104">
        <v>1</v>
      </c>
      <c r="B25" s="120" t="s">
        <v>92</v>
      </c>
      <c r="C25" s="121"/>
      <c r="D25" s="122">
        <v>16.86</v>
      </c>
    </row>
    <row r="26" spans="1:4" s="28" customFormat="1" ht="30" customHeight="1" x14ac:dyDescent="0.25">
      <c r="A26" s="105">
        <f>A25+1</f>
        <v>2</v>
      </c>
      <c r="B26" s="123" t="s">
        <v>93</v>
      </c>
      <c r="C26" s="124">
        <v>18.59</v>
      </c>
      <c r="D26" s="125"/>
    </row>
    <row r="27" spans="1:4" s="28" customFormat="1" ht="30" customHeight="1" x14ac:dyDescent="0.25">
      <c r="A27" s="105">
        <f>A26+1</f>
        <v>3</v>
      </c>
      <c r="B27" s="123" t="s">
        <v>94</v>
      </c>
      <c r="C27" s="124">
        <v>90.86</v>
      </c>
      <c r="D27" s="125">
        <f>C27</f>
        <v>90.86</v>
      </c>
    </row>
    <row r="28" spans="1:4" s="28" customFormat="1" ht="30" customHeight="1" x14ac:dyDescent="0.25">
      <c r="A28" s="105">
        <f>A27+1</f>
        <v>4</v>
      </c>
      <c r="B28" s="123" t="s">
        <v>95</v>
      </c>
      <c r="C28" s="124">
        <v>1</v>
      </c>
      <c r="D28" s="125"/>
    </row>
    <row r="29" spans="1:4" s="28" customFormat="1" ht="30" customHeight="1" x14ac:dyDescent="0.25">
      <c r="A29" s="106">
        <f>A28+1</f>
        <v>5</v>
      </c>
      <c r="B29" s="126" t="s">
        <v>96</v>
      </c>
      <c r="C29" s="127">
        <v>0.97</v>
      </c>
      <c r="D29" s="128"/>
    </row>
    <row r="30" spans="1:4" s="28" customFormat="1" ht="30" customHeight="1" x14ac:dyDescent="0.25">
      <c r="A30" s="107">
        <f>A29+1</f>
        <v>6</v>
      </c>
      <c r="B30" s="129" t="s">
        <v>97</v>
      </c>
      <c r="C30" s="130">
        <f>SUM(C25:C29)</f>
        <v>111.42</v>
      </c>
      <c r="D30" s="131">
        <f>SUM(D25:D29)</f>
        <v>107.72</v>
      </c>
    </row>
    <row r="33" spans="1:7" ht="30" x14ac:dyDescent="0.25">
      <c r="A33" s="40" t="s">
        <v>71</v>
      </c>
      <c r="B33" s="102" t="s">
        <v>72</v>
      </c>
      <c r="C33" s="14" t="s">
        <v>155</v>
      </c>
      <c r="D33" s="14" t="s">
        <v>156</v>
      </c>
      <c r="E33" s="15" t="s">
        <v>98</v>
      </c>
    </row>
    <row r="34" spans="1:7" x14ac:dyDescent="0.25">
      <c r="A34" s="104">
        <v>1</v>
      </c>
      <c r="B34" s="3" t="s">
        <v>2</v>
      </c>
      <c r="C34" s="37">
        <v>1021464633.3</v>
      </c>
      <c r="D34" s="37">
        <v>63200895.369999997</v>
      </c>
      <c r="E34" s="38">
        <f>SUM(C34:D34)</f>
        <v>1084665528.6699998</v>
      </c>
    </row>
    <row r="35" spans="1:7" x14ac:dyDescent="0.25">
      <c r="A35" s="105">
        <f>A34+1</f>
        <v>2</v>
      </c>
      <c r="B35" s="3" t="s">
        <v>81</v>
      </c>
      <c r="C35" s="5">
        <v>332673352.76999998</v>
      </c>
      <c r="D35" s="5">
        <v>66974564.909999996</v>
      </c>
      <c r="E35" s="38">
        <f t="shared" ref="E35:E42" si="0">SUM(C35:D35)</f>
        <v>399647917.67999995</v>
      </c>
    </row>
    <row r="36" spans="1:7" x14ac:dyDescent="0.25">
      <c r="A36" s="105">
        <f t="shared" ref="A36:A46" si="1">A35+1</f>
        <v>3</v>
      </c>
      <c r="B36" s="3" t="s">
        <v>82</v>
      </c>
      <c r="C36" s="5">
        <v>118580113.48</v>
      </c>
      <c r="D36" s="5">
        <v>1346935035</v>
      </c>
      <c r="E36" s="38">
        <f t="shared" si="0"/>
        <v>1465515148.48</v>
      </c>
    </row>
    <row r="37" spans="1:7" x14ac:dyDescent="0.25">
      <c r="A37" s="105">
        <f t="shared" si="1"/>
        <v>4</v>
      </c>
      <c r="B37" s="133" t="s">
        <v>83</v>
      </c>
      <c r="C37" s="5">
        <v>0</v>
      </c>
      <c r="D37" s="5">
        <v>0</v>
      </c>
      <c r="E37" s="38">
        <f t="shared" si="0"/>
        <v>0</v>
      </c>
    </row>
    <row r="38" spans="1:7" x14ac:dyDescent="0.25">
      <c r="A38" s="105">
        <f t="shared" si="1"/>
        <v>5</v>
      </c>
      <c r="B38" s="3" t="s">
        <v>158</v>
      </c>
      <c r="C38" s="5">
        <v>0</v>
      </c>
      <c r="D38" s="5">
        <v>38831480.539999999</v>
      </c>
      <c r="E38" s="38">
        <f t="shared" si="0"/>
        <v>38831480.539999999</v>
      </c>
    </row>
    <row r="39" spans="1:7" x14ac:dyDescent="0.25">
      <c r="A39" s="105">
        <f t="shared" si="1"/>
        <v>6</v>
      </c>
      <c r="B39" s="3" t="s">
        <v>5</v>
      </c>
      <c r="C39" s="5">
        <v>0</v>
      </c>
      <c r="D39" s="5">
        <v>137445054.66999999</v>
      </c>
      <c r="E39" s="38">
        <f t="shared" si="0"/>
        <v>137445054.66999999</v>
      </c>
    </row>
    <row r="40" spans="1:7" x14ac:dyDescent="0.25">
      <c r="A40" s="105">
        <f t="shared" si="1"/>
        <v>7</v>
      </c>
      <c r="B40" s="3" t="s">
        <v>7</v>
      </c>
      <c r="C40" s="5">
        <v>0</v>
      </c>
      <c r="D40" s="5">
        <v>24640359.239999998</v>
      </c>
      <c r="E40" s="38">
        <f t="shared" si="0"/>
        <v>24640359.239999998</v>
      </c>
    </row>
    <row r="41" spans="1:7" x14ac:dyDescent="0.25">
      <c r="A41" s="105">
        <f t="shared" si="1"/>
        <v>8</v>
      </c>
      <c r="B41" s="3" t="s">
        <v>8</v>
      </c>
      <c r="C41" s="5">
        <v>719474.13</v>
      </c>
      <c r="D41" s="5">
        <v>19496.39</v>
      </c>
      <c r="E41" s="38">
        <f t="shared" si="0"/>
        <v>738970.52</v>
      </c>
    </row>
    <row r="42" spans="1:7" x14ac:dyDescent="0.25">
      <c r="A42" s="105">
        <f t="shared" si="1"/>
        <v>9</v>
      </c>
      <c r="B42" s="3" t="s">
        <v>84</v>
      </c>
      <c r="C42" s="5">
        <v>5362345.8099999996</v>
      </c>
      <c r="D42" s="5">
        <v>103473.89</v>
      </c>
      <c r="E42" s="38">
        <f t="shared" si="0"/>
        <v>5465819.6999999993</v>
      </c>
    </row>
    <row r="43" spans="1:7" x14ac:dyDescent="0.25">
      <c r="A43" s="109">
        <f>A42+1</f>
        <v>10</v>
      </c>
      <c r="B43" s="110" t="s">
        <v>9</v>
      </c>
      <c r="C43" s="111">
        <f>SUM(C34:C42)</f>
        <v>1478799919.49</v>
      </c>
      <c r="D43" s="111">
        <f>SUM(D34:D42)</f>
        <v>1678150360.0100002</v>
      </c>
      <c r="E43" s="112">
        <f>SUM(E34:E42)</f>
        <v>3156950279.4999995</v>
      </c>
      <c r="G43" s="168"/>
    </row>
    <row r="44" spans="1:7" x14ac:dyDescent="0.25">
      <c r="A44" s="104">
        <f t="shared" si="1"/>
        <v>11</v>
      </c>
      <c r="B44" s="113" t="s">
        <v>100</v>
      </c>
      <c r="C44" s="114">
        <f>C43/E43</f>
        <v>0.46842673737776241</v>
      </c>
      <c r="D44" s="114">
        <f>D43/E43</f>
        <v>0.53157326262223781</v>
      </c>
      <c r="E44" s="115">
        <f>SUM(C44:D44)</f>
        <v>1.0000000000000002</v>
      </c>
    </row>
    <row r="45" spans="1:7" x14ac:dyDescent="0.25">
      <c r="A45" s="106">
        <f t="shared" si="1"/>
        <v>12</v>
      </c>
      <c r="B45" s="116" t="s">
        <v>101</v>
      </c>
      <c r="C45" s="99">
        <f>C30/1000</f>
        <v>0.11142000000000001</v>
      </c>
      <c r="D45" s="99">
        <f>D30/1000</f>
        <v>0.10772</v>
      </c>
      <c r="E45" s="117"/>
    </row>
    <row r="46" spans="1:7" x14ac:dyDescent="0.25">
      <c r="A46" s="107">
        <f t="shared" si="1"/>
        <v>13</v>
      </c>
      <c r="B46" s="108" t="s">
        <v>102</v>
      </c>
      <c r="C46" s="118">
        <f>C44*C45</f>
        <v>5.2192107078630291E-2</v>
      </c>
      <c r="D46" s="118">
        <f>D44*D45</f>
        <v>5.7261071849667458E-2</v>
      </c>
      <c r="E46" s="119">
        <f>SUM(C46:D46)</f>
        <v>0.10945317892829776</v>
      </c>
    </row>
    <row r="49" spans="1:8" ht="30" x14ac:dyDescent="0.25">
      <c r="A49" s="370" t="s">
        <v>71</v>
      </c>
      <c r="B49" s="372" t="s">
        <v>72</v>
      </c>
      <c r="C49" s="156" t="s">
        <v>103</v>
      </c>
      <c r="D49" s="156" t="s">
        <v>157</v>
      </c>
      <c r="E49" s="156" t="s">
        <v>103</v>
      </c>
      <c r="F49" s="157" t="s">
        <v>157</v>
      </c>
    </row>
    <row r="50" spans="1:8" x14ac:dyDescent="0.25">
      <c r="A50" s="371"/>
      <c r="B50" s="373"/>
      <c r="C50" s="374" t="s">
        <v>104</v>
      </c>
      <c r="D50" s="375"/>
      <c r="E50" s="374" t="s">
        <v>105</v>
      </c>
      <c r="F50" s="376"/>
    </row>
    <row r="51" spans="1:8" x14ac:dyDescent="0.25">
      <c r="A51" s="72">
        <v>1</v>
      </c>
      <c r="B51" s="3" t="s">
        <v>2</v>
      </c>
      <c r="C51" s="160">
        <v>6.8999999999999999E-3</v>
      </c>
      <c r="D51" s="160">
        <v>6.8999999999999999E-3</v>
      </c>
      <c r="E51" s="161">
        <v>5.7999999999999996E-3</v>
      </c>
      <c r="F51" s="161">
        <v>5.7999999999999996E-3</v>
      </c>
    </row>
    <row r="52" spans="1:8" x14ac:dyDescent="0.25">
      <c r="A52" s="73">
        <f>A51+1</f>
        <v>2</v>
      </c>
      <c r="B52" s="3" t="s">
        <v>81</v>
      </c>
      <c r="C52" s="97">
        <v>6.4999999999999997E-3</v>
      </c>
      <c r="D52" s="97">
        <v>6.4999999999999997E-3</v>
      </c>
      <c r="E52" s="161">
        <v>5.1000000000000004E-3</v>
      </c>
      <c r="F52" s="161">
        <v>5.1000000000000004E-3</v>
      </c>
    </row>
    <row r="53" spans="1:8" x14ac:dyDescent="0.25">
      <c r="A53" s="73">
        <f t="shared" ref="A53:A59" si="2">A52+1</f>
        <v>3</v>
      </c>
      <c r="B53" s="3" t="s">
        <v>82</v>
      </c>
      <c r="C53" s="97">
        <v>2.9350999999999998</v>
      </c>
      <c r="D53" s="97">
        <v>2.9350999999999998</v>
      </c>
      <c r="E53" s="161">
        <v>2.5983999999999998</v>
      </c>
      <c r="F53" s="161">
        <v>2.5983999999999998</v>
      </c>
    </row>
    <row r="54" spans="1:8" x14ac:dyDescent="0.25">
      <c r="A54" s="73">
        <f t="shared" si="2"/>
        <v>4</v>
      </c>
      <c r="B54" s="133" t="s">
        <v>83</v>
      </c>
      <c r="C54" s="97">
        <v>2.9350999999999998</v>
      </c>
      <c r="D54" s="97">
        <v>2.9350999999999998</v>
      </c>
      <c r="E54" s="161">
        <v>2.5983999999999998</v>
      </c>
      <c r="F54" s="161">
        <v>2.5983999999999998</v>
      </c>
    </row>
    <row r="55" spans="1:8" x14ac:dyDescent="0.25">
      <c r="A55" s="73">
        <f t="shared" si="2"/>
        <v>5</v>
      </c>
      <c r="B55" s="3" t="s">
        <v>158</v>
      </c>
      <c r="C55" s="97">
        <v>3.3883999999999999</v>
      </c>
      <c r="D55" s="97">
        <v>3.3883999999999999</v>
      </c>
      <c r="E55" s="161">
        <v>2.7484999999999999</v>
      </c>
      <c r="F55" s="161">
        <v>2.7484999999999999</v>
      </c>
    </row>
    <row r="56" spans="1:8" x14ac:dyDescent="0.25">
      <c r="A56" s="73">
        <f t="shared" si="2"/>
        <v>6</v>
      </c>
      <c r="B56" s="3" t="s">
        <v>5</v>
      </c>
      <c r="C56" s="97">
        <v>3.0066000000000002</v>
      </c>
      <c r="D56" s="97">
        <v>3.0066000000000002</v>
      </c>
      <c r="E56" s="161">
        <v>2.5983999999999998</v>
      </c>
      <c r="F56" s="161">
        <v>2.5983999999999998</v>
      </c>
    </row>
    <row r="57" spans="1:8" x14ac:dyDescent="0.25">
      <c r="A57" s="73">
        <f t="shared" si="2"/>
        <v>7</v>
      </c>
      <c r="B57" s="3" t="s">
        <v>7</v>
      </c>
      <c r="C57" s="97">
        <v>2.0152999999999999</v>
      </c>
      <c r="D57" s="97">
        <v>2.0152999999999999</v>
      </c>
      <c r="E57" s="161">
        <v>1.6418999999999999</v>
      </c>
      <c r="F57" s="161">
        <v>1.6418999999999999</v>
      </c>
    </row>
    <row r="58" spans="1:8" x14ac:dyDescent="0.25">
      <c r="A58" s="73">
        <f t="shared" si="2"/>
        <v>8</v>
      </c>
      <c r="B58" s="3" t="s">
        <v>8</v>
      </c>
      <c r="C58" s="97">
        <v>2.0179999999999998</v>
      </c>
      <c r="D58" s="97">
        <v>2.0179999999999998</v>
      </c>
      <c r="E58" s="161">
        <v>1.6440999999999999</v>
      </c>
      <c r="F58" s="161">
        <v>1.6440999999999999</v>
      </c>
    </row>
    <row r="59" spans="1:8" x14ac:dyDescent="0.25">
      <c r="A59" s="74">
        <f t="shared" si="2"/>
        <v>9</v>
      </c>
      <c r="B59" s="46" t="s">
        <v>84</v>
      </c>
      <c r="C59" s="158">
        <v>6.4999999999999997E-3</v>
      </c>
      <c r="D59" s="158">
        <v>6.4999999999999997E-3</v>
      </c>
      <c r="E59" s="159">
        <v>5.1000000000000004E-3</v>
      </c>
      <c r="F59" s="159">
        <v>5.1000000000000004E-3</v>
      </c>
    </row>
    <row r="61" spans="1:8" ht="30" x14ac:dyDescent="0.25">
      <c r="A61" s="370" t="s">
        <v>71</v>
      </c>
      <c r="B61" s="372" t="s">
        <v>72</v>
      </c>
      <c r="C61" s="276" t="s">
        <v>103</v>
      </c>
      <c r="D61" s="276" t="s">
        <v>157</v>
      </c>
      <c r="E61" s="276" t="s">
        <v>103</v>
      </c>
      <c r="F61" s="157" t="s">
        <v>157</v>
      </c>
      <c r="G61" s="276" t="s">
        <v>103</v>
      </c>
      <c r="H61" s="157" t="s">
        <v>157</v>
      </c>
    </row>
    <row r="62" spans="1:8" x14ac:dyDescent="0.25">
      <c r="A62" s="371"/>
      <c r="B62" s="373"/>
      <c r="C62" s="374" t="s">
        <v>161</v>
      </c>
      <c r="D62" s="375"/>
      <c r="E62" s="374" t="s">
        <v>162</v>
      </c>
      <c r="F62" s="376"/>
      <c r="G62" s="374" t="s">
        <v>163</v>
      </c>
      <c r="H62" s="376"/>
    </row>
    <row r="63" spans="1:8" x14ac:dyDescent="0.25">
      <c r="A63" s="72">
        <v>1</v>
      </c>
      <c r="B63" s="3" t="s">
        <v>2</v>
      </c>
      <c r="C63" s="160">
        <v>3.5999999999999999E-3</v>
      </c>
      <c r="D63" s="160">
        <v>3.5999999999999999E-3</v>
      </c>
      <c r="E63" s="282">
        <v>1.2999999999999999E-3</v>
      </c>
      <c r="F63" s="282">
        <v>1.2999999999999999E-3</v>
      </c>
      <c r="G63" s="282">
        <v>1.1000000000000001E-3</v>
      </c>
      <c r="H63" s="284">
        <v>1.1000000000000001E-3</v>
      </c>
    </row>
    <row r="64" spans="1:8" x14ac:dyDescent="0.25">
      <c r="A64" s="73">
        <f>A63+1</f>
        <v>2</v>
      </c>
      <c r="B64" s="3" t="s">
        <v>81</v>
      </c>
      <c r="C64" s="160">
        <v>3.5999999999999999E-3</v>
      </c>
      <c r="D64" s="160">
        <v>3.5999999999999999E-3</v>
      </c>
      <c r="E64" s="160">
        <v>1.2999999999999999E-3</v>
      </c>
      <c r="F64" s="160">
        <v>1.2999999999999999E-3</v>
      </c>
      <c r="G64" s="160">
        <v>1.1000000000000001E-3</v>
      </c>
      <c r="H64" s="161">
        <v>1.1000000000000001E-3</v>
      </c>
    </row>
    <row r="65" spans="1:8" x14ac:dyDescent="0.25">
      <c r="A65" s="73">
        <f t="shared" ref="A65:A71" si="3">A64+1</f>
        <v>3</v>
      </c>
      <c r="B65" s="3" t="s">
        <v>82</v>
      </c>
      <c r="C65" s="160">
        <v>3.5999999999999999E-3</v>
      </c>
      <c r="D65" s="160">
        <v>3.5999999999999999E-3</v>
      </c>
      <c r="E65" s="160">
        <v>1.2999999999999999E-3</v>
      </c>
      <c r="F65" s="160">
        <v>1.2999999999999999E-3</v>
      </c>
      <c r="G65" s="160">
        <v>1.1000000000000001E-3</v>
      </c>
      <c r="H65" s="161">
        <v>1.1000000000000001E-3</v>
      </c>
    </row>
    <row r="66" spans="1:8" x14ac:dyDescent="0.25">
      <c r="A66" s="73">
        <f t="shared" si="3"/>
        <v>4</v>
      </c>
      <c r="B66" s="133" t="s">
        <v>83</v>
      </c>
      <c r="C66" s="160">
        <v>3.5999999999999999E-3</v>
      </c>
      <c r="D66" s="160">
        <v>3.5999999999999999E-3</v>
      </c>
      <c r="E66" s="160">
        <v>1.2999999999999999E-3</v>
      </c>
      <c r="F66" s="160">
        <v>1.2999999999999999E-3</v>
      </c>
      <c r="G66" s="160">
        <v>1.1000000000000001E-3</v>
      </c>
      <c r="H66" s="161">
        <v>1.1000000000000001E-3</v>
      </c>
    </row>
    <row r="67" spans="1:8" x14ac:dyDescent="0.25">
      <c r="A67" s="73">
        <f t="shared" si="3"/>
        <v>5</v>
      </c>
      <c r="B67" s="3" t="s">
        <v>158</v>
      </c>
      <c r="C67" s="160">
        <v>3.5999999999999999E-3</v>
      </c>
      <c r="D67" s="160">
        <v>3.5999999999999999E-3</v>
      </c>
      <c r="E67" s="160">
        <v>1.2999999999999999E-3</v>
      </c>
      <c r="F67" s="160">
        <v>1.2999999999999999E-3</v>
      </c>
      <c r="G67" s="160">
        <v>1.1000000000000001E-3</v>
      </c>
      <c r="H67" s="161">
        <v>1.1000000000000001E-3</v>
      </c>
    </row>
    <row r="68" spans="1:8" x14ac:dyDescent="0.25">
      <c r="A68" s="73">
        <f t="shared" si="3"/>
        <v>6</v>
      </c>
      <c r="B68" s="3" t="s">
        <v>5</v>
      </c>
      <c r="C68" s="160">
        <v>3.5999999999999999E-3</v>
      </c>
      <c r="D68" s="160">
        <v>3.5999999999999999E-3</v>
      </c>
      <c r="E68" s="160">
        <v>1.2999999999999999E-3</v>
      </c>
      <c r="F68" s="160">
        <v>1.2999999999999999E-3</v>
      </c>
      <c r="G68" s="160">
        <v>1.1000000000000001E-3</v>
      </c>
      <c r="H68" s="161">
        <v>1.1000000000000001E-3</v>
      </c>
    </row>
    <row r="69" spans="1:8" x14ac:dyDescent="0.25">
      <c r="A69" s="73">
        <f t="shared" si="3"/>
        <v>7</v>
      </c>
      <c r="B69" s="3" t="s">
        <v>7</v>
      </c>
      <c r="C69" s="160">
        <v>3.5999999999999999E-3</v>
      </c>
      <c r="D69" s="160">
        <v>3.5999999999999999E-3</v>
      </c>
      <c r="E69" s="160">
        <v>1.2999999999999999E-3</v>
      </c>
      <c r="F69" s="160">
        <v>1.2999999999999999E-3</v>
      </c>
      <c r="G69" s="160">
        <v>1.1000000000000001E-3</v>
      </c>
      <c r="H69" s="161">
        <v>1.1000000000000001E-3</v>
      </c>
    </row>
    <row r="70" spans="1:8" x14ac:dyDescent="0.25">
      <c r="A70" s="73">
        <f t="shared" si="3"/>
        <v>8</v>
      </c>
      <c r="B70" s="3" t="s">
        <v>8</v>
      </c>
      <c r="C70" s="160">
        <v>3.5999999999999999E-3</v>
      </c>
      <c r="D70" s="160">
        <v>3.5999999999999999E-3</v>
      </c>
      <c r="E70" s="160">
        <v>1.2999999999999999E-3</v>
      </c>
      <c r="F70" s="160">
        <v>1.2999999999999999E-3</v>
      </c>
      <c r="G70" s="160">
        <v>1.1000000000000001E-3</v>
      </c>
      <c r="H70" s="161">
        <v>1.1000000000000001E-3</v>
      </c>
    </row>
    <row r="71" spans="1:8" x14ac:dyDescent="0.25">
      <c r="A71" s="74">
        <f t="shared" si="3"/>
        <v>9</v>
      </c>
      <c r="B71" s="46" t="s">
        <v>84</v>
      </c>
      <c r="C71" s="158">
        <v>3.5999999999999999E-3</v>
      </c>
      <c r="D71" s="158">
        <v>3.5999999999999999E-3</v>
      </c>
      <c r="E71" s="283">
        <v>1.2999999999999999E-3</v>
      </c>
      <c r="F71" s="283">
        <v>1.2999999999999999E-3</v>
      </c>
      <c r="G71" s="283">
        <v>1.1000000000000001E-3</v>
      </c>
      <c r="H71" s="285">
        <v>1.1000000000000001E-3</v>
      </c>
    </row>
    <row r="73" spans="1:8" x14ac:dyDescent="0.25">
      <c r="A73" s="370" t="s">
        <v>71</v>
      </c>
      <c r="B73" s="372" t="s">
        <v>72</v>
      </c>
      <c r="C73" s="276" t="s">
        <v>103</v>
      </c>
      <c r="D73" s="276" t="s">
        <v>157</v>
      </c>
    </row>
    <row r="74" spans="1:8" x14ac:dyDescent="0.25">
      <c r="A74" s="371"/>
      <c r="B74" s="373"/>
      <c r="C74" s="374" t="s">
        <v>164</v>
      </c>
      <c r="D74" s="375"/>
    </row>
    <row r="75" spans="1:8" x14ac:dyDescent="0.25">
      <c r="A75" s="72">
        <v>1</v>
      </c>
      <c r="B75" s="3" t="s">
        <v>2</v>
      </c>
      <c r="C75" s="160">
        <v>0.79</v>
      </c>
      <c r="D75" s="284">
        <v>0.79</v>
      </c>
    </row>
    <row r="76" spans="1:8" x14ac:dyDescent="0.25">
      <c r="A76" s="73">
        <f>A75+1</f>
        <v>2</v>
      </c>
      <c r="B76" s="3" t="s">
        <v>81</v>
      </c>
      <c r="C76" s="160">
        <v>0.79</v>
      </c>
      <c r="D76" s="161">
        <v>0.79</v>
      </c>
    </row>
    <row r="77" spans="1:8" x14ac:dyDescent="0.25">
      <c r="A77" s="73">
        <f t="shared" ref="A77:A83" si="4">A76+1</f>
        <v>3</v>
      </c>
      <c r="B77" s="3" t="s">
        <v>82</v>
      </c>
      <c r="C77" s="160"/>
      <c r="D77" s="161"/>
    </row>
    <row r="78" spans="1:8" x14ac:dyDescent="0.25">
      <c r="A78" s="73">
        <f t="shared" si="4"/>
        <v>4</v>
      </c>
      <c r="B78" s="133" t="s">
        <v>83</v>
      </c>
      <c r="C78" s="160"/>
      <c r="D78" s="161"/>
    </row>
    <row r="79" spans="1:8" x14ac:dyDescent="0.25">
      <c r="A79" s="73">
        <f t="shared" si="4"/>
        <v>5</v>
      </c>
      <c r="B79" s="3" t="s">
        <v>158</v>
      </c>
      <c r="C79" s="160"/>
      <c r="D79" s="161"/>
    </row>
    <row r="80" spans="1:8" x14ac:dyDescent="0.25">
      <c r="A80" s="73">
        <f t="shared" si="4"/>
        <v>6</v>
      </c>
      <c r="B80" s="3" t="s">
        <v>5</v>
      </c>
      <c r="C80" s="160"/>
      <c r="D80" s="161"/>
    </row>
    <row r="81" spans="1:4" x14ac:dyDescent="0.25">
      <c r="A81" s="73">
        <f t="shared" si="4"/>
        <v>7</v>
      </c>
      <c r="B81" s="3" t="s">
        <v>7</v>
      </c>
      <c r="C81" s="160"/>
      <c r="D81" s="161"/>
    </row>
    <row r="82" spans="1:4" x14ac:dyDescent="0.25">
      <c r="A82" s="73">
        <f t="shared" si="4"/>
        <v>8</v>
      </c>
      <c r="B82" s="3" t="s">
        <v>8</v>
      </c>
      <c r="C82" s="160"/>
      <c r="D82" s="161"/>
    </row>
    <row r="83" spans="1:4" x14ac:dyDescent="0.25">
      <c r="A83" s="74">
        <f t="shared" si="4"/>
        <v>9</v>
      </c>
      <c r="B83" s="46" t="s">
        <v>84</v>
      </c>
      <c r="C83" s="158"/>
      <c r="D83" s="159"/>
    </row>
  </sheetData>
  <mergeCells count="12">
    <mergeCell ref="E62:F62"/>
    <mergeCell ref="G62:H62"/>
    <mergeCell ref="A49:A50"/>
    <mergeCell ref="B49:B50"/>
    <mergeCell ref="C50:D50"/>
    <mergeCell ref="E50:F50"/>
    <mergeCell ref="A73:A74"/>
    <mergeCell ref="B73:B74"/>
    <mergeCell ref="C74:D74"/>
    <mergeCell ref="A61:A62"/>
    <mergeCell ref="B61:B62"/>
    <mergeCell ref="C62:D62"/>
  </mergeCells>
  <hyperlinks>
    <hyperlink ref="F13" r:id="rId1" xr:uid="{00000000-0004-0000-0C00-000000000000}"/>
    <hyperlink ref="G13" r:id="rId2" xr:uid="{00000000-0004-0000-0C00-000001000000}"/>
  </hyperlinks>
  <pageMargins left="0.7" right="0.7" top="0.75" bottom="0.75" header="0.3" footer="0.3"/>
  <pageSetup scale="66" orientation="portrait"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P70"/>
  <sheetViews>
    <sheetView workbookViewId="0">
      <pane ySplit="8" topLeftCell="A9" activePane="bottomLeft" state="frozen"/>
      <selection activeCell="A2" sqref="A2"/>
      <selection pane="bottomLeft" activeCell="S39" sqref="S39"/>
    </sheetView>
  </sheetViews>
  <sheetFormatPr defaultRowHeight="15" x14ac:dyDescent="0.25"/>
  <cols>
    <col min="1" max="1" width="6.7109375" customWidth="1"/>
    <col min="2" max="2" width="24.140625" customWidth="1"/>
    <col min="3" max="3" width="6.42578125" customWidth="1"/>
    <col min="4" max="4" width="14.28515625" style="1" bestFit="1" customWidth="1"/>
    <col min="5" max="5" width="10.7109375" customWidth="1"/>
    <col min="6" max="6" width="14.28515625" bestFit="1" customWidth="1"/>
    <col min="7" max="7" width="10.7109375" customWidth="1"/>
    <col min="8" max="8" width="14.7109375" customWidth="1"/>
    <col min="9" max="9" width="14.28515625" bestFit="1" customWidth="1"/>
    <col min="10" max="10" width="10.7109375" customWidth="1"/>
    <col min="11" max="11" width="14.28515625" bestFit="1" customWidth="1"/>
    <col min="12" max="12" width="7.5703125" bestFit="1" customWidth="1"/>
    <col min="13" max="13" width="14.7109375" customWidth="1"/>
  </cols>
  <sheetData>
    <row r="1" spans="1:13" ht="18.75" x14ac:dyDescent="0.3">
      <c r="A1" s="24" t="str">
        <f>Admin!B3</f>
        <v>London Hydro</v>
      </c>
      <c r="H1" s="24"/>
    </row>
    <row r="2" spans="1:13" ht="18.75" x14ac:dyDescent="0.3">
      <c r="A2" s="24" t="str">
        <f>Admin!B5</f>
        <v>EB-2021-0041</v>
      </c>
      <c r="H2" s="24"/>
    </row>
    <row r="3" spans="1:13" ht="18.75" x14ac:dyDescent="0.3">
      <c r="A3" s="24" t="str">
        <f>Admin!B7</f>
        <v>2022 Load Forecast</v>
      </c>
      <c r="H3" s="24"/>
    </row>
    <row r="4" spans="1:13" ht="18.75" x14ac:dyDescent="0.3">
      <c r="A4" s="24"/>
      <c r="H4" s="24"/>
    </row>
    <row r="5" spans="1:13" ht="19.5" thickBot="1" x14ac:dyDescent="0.35">
      <c r="A5" s="26" t="s">
        <v>106</v>
      </c>
      <c r="B5" s="27"/>
      <c r="C5" s="27"/>
      <c r="D5" s="59"/>
      <c r="E5" s="27"/>
      <c r="F5" s="27"/>
      <c r="G5" s="27"/>
      <c r="H5" s="26"/>
      <c r="I5" s="27"/>
      <c r="J5" s="27"/>
      <c r="K5" s="27"/>
      <c r="L5" s="27"/>
      <c r="M5" s="27"/>
    </row>
    <row r="7" spans="1:13" ht="18.75" x14ac:dyDescent="0.3">
      <c r="A7" s="358" t="s">
        <v>71</v>
      </c>
      <c r="B7" s="380" t="s">
        <v>72</v>
      </c>
      <c r="C7" s="382" t="s">
        <v>114</v>
      </c>
      <c r="D7" s="377">
        <v>2016</v>
      </c>
      <c r="E7" s="378"/>
      <c r="F7" s="378"/>
      <c r="G7" s="378"/>
      <c r="H7" s="379"/>
      <c r="I7" s="377">
        <v>2017</v>
      </c>
      <c r="J7" s="378"/>
      <c r="K7" s="378"/>
      <c r="L7" s="378"/>
      <c r="M7" s="379"/>
    </row>
    <row r="8" spans="1:13" ht="30" x14ac:dyDescent="0.25">
      <c r="A8" s="359"/>
      <c r="B8" s="381"/>
      <c r="C8" s="383"/>
      <c r="D8" s="147" t="s">
        <v>115</v>
      </c>
      <c r="E8" s="142" t="s">
        <v>37</v>
      </c>
      <c r="F8" s="141" t="s">
        <v>76</v>
      </c>
      <c r="G8" s="143" t="s">
        <v>77</v>
      </c>
      <c r="H8" s="144" t="s">
        <v>78</v>
      </c>
      <c r="I8" s="150" t="s">
        <v>115</v>
      </c>
      <c r="J8" s="142" t="s">
        <v>37</v>
      </c>
      <c r="K8" s="141" t="s">
        <v>76</v>
      </c>
      <c r="L8" s="143" t="s">
        <v>77</v>
      </c>
      <c r="M8" s="144" t="s">
        <v>78</v>
      </c>
    </row>
    <row r="9" spans="1:13" x14ac:dyDescent="0.25">
      <c r="A9" s="134">
        <v>1</v>
      </c>
      <c r="B9" s="135" t="s">
        <v>79</v>
      </c>
      <c r="C9" s="145"/>
      <c r="D9" s="148"/>
      <c r="E9" s="136"/>
      <c r="F9" s="136"/>
      <c r="G9" s="136"/>
      <c r="H9" s="137"/>
      <c r="I9" s="151"/>
      <c r="J9" s="136"/>
      <c r="K9" s="136"/>
      <c r="L9" s="136"/>
      <c r="M9" s="137"/>
    </row>
    <row r="10" spans="1:13" x14ac:dyDescent="0.25">
      <c r="A10" s="73">
        <f>A9+1</f>
        <v>2</v>
      </c>
      <c r="B10" s="3" t="s">
        <v>2</v>
      </c>
      <c r="C10" s="39" t="s">
        <v>14</v>
      </c>
      <c r="D10" s="41">
        <f>Summary!$D$10</f>
        <v>1230987469.6565385</v>
      </c>
      <c r="E10" s="281">
        <f>'COP Rates'!$C$8</f>
        <v>1.0349999999999999</v>
      </c>
      <c r="F10" s="5">
        <f>D10*E10</f>
        <v>1274072031.0945172</v>
      </c>
      <c r="G10" s="97">
        <f>'COP Rates'!E46</f>
        <v>0.10945317892829776</v>
      </c>
      <c r="H10" s="98">
        <f>F10*G10</f>
        <v>139451233.98692793</v>
      </c>
      <c r="I10" s="41">
        <f>Summary!$G$10</f>
        <v>1262245325.811132</v>
      </c>
      <c r="J10" s="281">
        <f>'COP Rates'!$D$8</f>
        <v>1.0349999999999999</v>
      </c>
      <c r="K10" s="5">
        <f>I10*J10</f>
        <v>1306423912.2145214</v>
      </c>
      <c r="L10" s="97">
        <f>'COP Rates'!E46</f>
        <v>0.10945317892829776</v>
      </c>
      <c r="M10" s="98">
        <f>K10*L10</f>
        <v>142992250.21982276</v>
      </c>
    </row>
    <row r="11" spans="1:13" x14ac:dyDescent="0.25">
      <c r="A11" s="73">
        <f t="shared" ref="A11:A64" si="0">A10+1</f>
        <v>3</v>
      </c>
      <c r="B11" s="3" t="s">
        <v>81</v>
      </c>
      <c r="C11" s="39" t="s">
        <v>14</v>
      </c>
      <c r="D11" s="41">
        <f>Summary!$D$11</f>
        <v>380432613.87734354</v>
      </c>
      <c r="E11" s="281">
        <f>'COP Rates'!$C$8</f>
        <v>1.0349999999999999</v>
      </c>
      <c r="F11" s="5">
        <f t="shared" ref="F11:F18" si="1">D11*E11</f>
        <v>393747755.36305052</v>
      </c>
      <c r="G11" s="97">
        <f>G10</f>
        <v>0.10945317892829776</v>
      </c>
      <c r="H11" s="98">
        <f t="shared" ref="H11:H18" si="2">F11*G11</f>
        <v>43096943.520367578</v>
      </c>
      <c r="I11" s="41">
        <f>Summary!$G$11</f>
        <v>378149495.88686538</v>
      </c>
      <c r="J11" s="281">
        <f>'COP Rates'!$D$8</f>
        <v>1.0349999999999999</v>
      </c>
      <c r="K11" s="5">
        <f t="shared" ref="K11:K18" si="3">I11*J11</f>
        <v>391384728.24290562</v>
      </c>
      <c r="L11" s="97">
        <f>L10</f>
        <v>0.10945317892829776</v>
      </c>
      <c r="M11" s="98">
        <f t="shared" ref="M11:M18" si="4">K11*L11</f>
        <v>42838302.690173939</v>
      </c>
    </row>
    <row r="12" spans="1:13" x14ac:dyDescent="0.25">
      <c r="A12" s="73">
        <f t="shared" si="0"/>
        <v>4</v>
      </c>
      <c r="B12" s="3" t="s">
        <v>82</v>
      </c>
      <c r="C12" s="39" t="s">
        <v>14</v>
      </c>
      <c r="D12" s="41">
        <f>Summary!$D$12</f>
        <v>1375278188.9321187</v>
      </c>
      <c r="E12" s="281">
        <f>'COP Rates'!$C$8</f>
        <v>1.0349999999999999</v>
      </c>
      <c r="F12" s="5">
        <f t="shared" si="1"/>
        <v>1423412925.5447426</v>
      </c>
      <c r="G12" s="97">
        <f t="shared" ref="G12:G18" si="5">G11</f>
        <v>0.10945317892829776</v>
      </c>
      <c r="H12" s="98">
        <f t="shared" si="2"/>
        <v>155797069.62850049</v>
      </c>
      <c r="I12" s="41">
        <f>Summary!$G$12</f>
        <v>1356339581.2559984</v>
      </c>
      <c r="J12" s="281">
        <f>'COP Rates'!$D$8</f>
        <v>1.0349999999999999</v>
      </c>
      <c r="K12" s="5">
        <f t="shared" si="3"/>
        <v>1403811466.5999582</v>
      </c>
      <c r="L12" s="97">
        <f t="shared" ref="L12:L18" si="6">L11</f>
        <v>0.10945317892829776</v>
      </c>
      <c r="M12" s="98">
        <f t="shared" si="4"/>
        <v>153651627.63536131</v>
      </c>
    </row>
    <row r="13" spans="1:13" x14ac:dyDescent="0.25">
      <c r="A13" s="73">
        <f t="shared" si="0"/>
        <v>5</v>
      </c>
      <c r="B13" s="133" t="s">
        <v>83</v>
      </c>
      <c r="C13" s="39" t="s">
        <v>14</v>
      </c>
      <c r="D13" s="41"/>
      <c r="E13" s="281">
        <f>'COP Rates'!$C$8</f>
        <v>1.0349999999999999</v>
      </c>
      <c r="F13" s="5">
        <f t="shared" si="1"/>
        <v>0</v>
      </c>
      <c r="G13" s="97">
        <f t="shared" si="5"/>
        <v>0.10945317892829776</v>
      </c>
      <c r="H13" s="98">
        <f t="shared" si="2"/>
        <v>0</v>
      </c>
      <c r="I13" s="41"/>
      <c r="J13" s="281">
        <f>'COP Rates'!$D$8</f>
        <v>1.0349999999999999</v>
      </c>
      <c r="K13" s="5">
        <f t="shared" si="3"/>
        <v>0</v>
      </c>
      <c r="L13" s="97">
        <f t="shared" si="6"/>
        <v>0.10945317892829776</v>
      </c>
      <c r="M13" s="98">
        <f t="shared" si="4"/>
        <v>0</v>
      </c>
    </row>
    <row r="14" spans="1:13" x14ac:dyDescent="0.25">
      <c r="A14" s="73">
        <f t="shared" si="0"/>
        <v>6</v>
      </c>
      <c r="B14" s="3" t="s">
        <v>158</v>
      </c>
      <c r="C14" s="39" t="s">
        <v>14</v>
      </c>
      <c r="D14" s="41">
        <f>Summary!D14</f>
        <v>34027713.451067165</v>
      </c>
      <c r="E14" s="281">
        <f>'COP Rates'!C9</f>
        <v>1.0136000000000001</v>
      </c>
      <c r="F14" s="5">
        <f t="shared" si="1"/>
        <v>34490490.354001679</v>
      </c>
      <c r="G14" s="97">
        <f t="shared" si="5"/>
        <v>0.10945317892829776</v>
      </c>
      <c r="H14" s="98">
        <f t="shared" si="2"/>
        <v>3775093.8120412733</v>
      </c>
      <c r="I14" s="41">
        <f>Summary!$G$14</f>
        <v>30765107.162167553</v>
      </c>
      <c r="J14" s="281">
        <f>'COP Rates'!$D$9</f>
        <v>1.0136000000000001</v>
      </c>
      <c r="K14" s="5">
        <f t="shared" si="3"/>
        <v>31183512.619573034</v>
      </c>
      <c r="L14" s="97">
        <f t="shared" si="6"/>
        <v>0.10945317892829776</v>
      </c>
      <c r="M14" s="98">
        <f t="shared" si="4"/>
        <v>3413134.5863629584</v>
      </c>
    </row>
    <row r="15" spans="1:13" x14ac:dyDescent="0.25">
      <c r="A15" s="73">
        <f t="shared" si="0"/>
        <v>7</v>
      </c>
      <c r="B15" s="3" t="s">
        <v>5</v>
      </c>
      <c r="C15" s="39" t="s">
        <v>14</v>
      </c>
      <c r="D15" s="41">
        <f>Summary!D16</f>
        <v>97901443.054430395</v>
      </c>
      <c r="E15" s="281">
        <f>'COP Rates'!$C$9</f>
        <v>1.0136000000000001</v>
      </c>
      <c r="F15" s="5">
        <f t="shared" si="1"/>
        <v>99232902.679970652</v>
      </c>
      <c r="G15" s="97">
        <f t="shared" si="5"/>
        <v>0.10945317892829776</v>
      </c>
      <c r="H15" s="98">
        <f t="shared" si="2"/>
        <v>10861356.652605185</v>
      </c>
      <c r="I15" s="41">
        <f>Summary!$G$16</f>
        <v>92148673.013821095</v>
      </c>
      <c r="J15" s="281">
        <f>'COP Rates'!$D$9</f>
        <v>1.0136000000000001</v>
      </c>
      <c r="K15" s="5">
        <f t="shared" si="3"/>
        <v>93401894.966809064</v>
      </c>
      <c r="L15" s="97">
        <f t="shared" si="6"/>
        <v>0.10945317892829776</v>
      </c>
      <c r="M15" s="98">
        <f t="shared" si="4"/>
        <v>10223134.322044225</v>
      </c>
    </row>
    <row r="16" spans="1:13" x14ac:dyDescent="0.25">
      <c r="A16" s="73">
        <f t="shared" si="0"/>
        <v>8</v>
      </c>
      <c r="B16" s="3" t="s">
        <v>7</v>
      </c>
      <c r="C16" s="39" t="s">
        <v>14</v>
      </c>
      <c r="D16" s="41">
        <f>Summary!D17</f>
        <v>15876132.043679912</v>
      </c>
      <c r="E16" s="281">
        <f>'COP Rates'!$C$8</f>
        <v>1.0349999999999999</v>
      </c>
      <c r="F16" s="5">
        <f t="shared" si="1"/>
        <v>16431796.665208707</v>
      </c>
      <c r="G16" s="97">
        <f t="shared" si="5"/>
        <v>0.10945317892829776</v>
      </c>
      <c r="H16" s="98">
        <f t="shared" si="2"/>
        <v>1798512.380510495</v>
      </c>
      <c r="I16" s="41">
        <f>Summary!$G$17</f>
        <v>14936832</v>
      </c>
      <c r="J16" s="281">
        <f>'COP Rates'!$D$8</f>
        <v>1.0349999999999999</v>
      </c>
      <c r="K16" s="5">
        <f t="shared" si="3"/>
        <v>15459621.119999999</v>
      </c>
      <c r="L16" s="97">
        <f t="shared" si="6"/>
        <v>0.10945317892829776</v>
      </c>
      <c r="M16" s="98">
        <f t="shared" si="4"/>
        <v>1692104.676611051</v>
      </c>
    </row>
    <row r="17" spans="1:16" x14ac:dyDescent="0.25">
      <c r="A17" s="73">
        <f t="shared" si="0"/>
        <v>9</v>
      </c>
      <c r="B17" s="3" t="s">
        <v>8</v>
      </c>
      <c r="C17" s="39" t="s">
        <v>14</v>
      </c>
      <c r="D17" s="41">
        <f>Summary!D18</f>
        <v>497133.20239277999</v>
      </c>
      <c r="E17" s="281">
        <f>'COP Rates'!$C$8</f>
        <v>1.0349999999999999</v>
      </c>
      <c r="F17" s="5">
        <f t="shared" si="1"/>
        <v>514532.86447652726</v>
      </c>
      <c r="G17" s="97">
        <f t="shared" si="5"/>
        <v>0.10945317892829776</v>
      </c>
      <c r="H17" s="98">
        <f t="shared" si="2"/>
        <v>56317.257680038922</v>
      </c>
      <c r="I17" s="41">
        <f>Summary!$G$18</f>
        <v>462196</v>
      </c>
      <c r="J17" s="281">
        <f>'COP Rates'!$D$8</f>
        <v>1.0349999999999999</v>
      </c>
      <c r="K17" s="5">
        <f t="shared" si="3"/>
        <v>478372.86</v>
      </c>
      <c r="L17" s="97">
        <f t="shared" si="6"/>
        <v>0.10945317892829776</v>
      </c>
      <c r="M17" s="98">
        <f t="shared" si="4"/>
        <v>52359.430240021531</v>
      </c>
    </row>
    <row r="18" spans="1:16" x14ac:dyDescent="0.25">
      <c r="A18" s="73">
        <f t="shared" si="0"/>
        <v>10</v>
      </c>
      <c r="B18" s="3" t="s">
        <v>84</v>
      </c>
      <c r="C18" s="39" t="s">
        <v>14</v>
      </c>
      <c r="D18" s="41">
        <f>Summary!D19</f>
        <v>5369917.9124142854</v>
      </c>
      <c r="E18" s="281">
        <f>'COP Rates'!$C$8</f>
        <v>1.0349999999999999</v>
      </c>
      <c r="F18" s="5">
        <f t="shared" si="1"/>
        <v>5557865.0393487848</v>
      </c>
      <c r="G18" s="97">
        <f t="shared" si="5"/>
        <v>0.10945317892829776</v>
      </c>
      <c r="H18" s="98">
        <f t="shared" si="2"/>
        <v>608325.99661117315</v>
      </c>
      <c r="I18" s="41">
        <f>Summary!$G$19</f>
        <v>5323401</v>
      </c>
      <c r="J18" s="281">
        <f>'COP Rates'!$D$8</f>
        <v>1.0349999999999999</v>
      </c>
      <c r="K18" s="5">
        <f t="shared" si="3"/>
        <v>5509720.0349999992</v>
      </c>
      <c r="L18" s="97">
        <f t="shared" si="6"/>
        <v>0.10945317892829776</v>
      </c>
      <c r="M18" s="98">
        <f t="shared" si="4"/>
        <v>603056.37283568189</v>
      </c>
    </row>
    <row r="19" spans="1:16" x14ac:dyDescent="0.25">
      <c r="A19" s="139">
        <f t="shared" si="0"/>
        <v>11</v>
      </c>
      <c r="B19" s="110" t="s">
        <v>9</v>
      </c>
      <c r="C19" s="146"/>
      <c r="D19" s="149">
        <f>SUM(D10:D18)</f>
        <v>3140370612.1299844</v>
      </c>
      <c r="E19" s="110"/>
      <c r="F19" s="51"/>
      <c r="G19" s="110"/>
      <c r="H19" s="140">
        <f>SUM(H10:H18)</f>
        <v>355444853.23524415</v>
      </c>
      <c r="I19" s="293">
        <f>SUM(I10:I18)</f>
        <v>3140370612.1299844</v>
      </c>
      <c r="J19" s="110"/>
      <c r="K19" s="110"/>
      <c r="L19" s="110"/>
      <c r="M19" s="140">
        <f>SUM(M10:M18)</f>
        <v>355465969.93345201</v>
      </c>
    </row>
    <row r="20" spans="1:16" x14ac:dyDescent="0.25">
      <c r="A20" s="134">
        <f t="shared" si="0"/>
        <v>12</v>
      </c>
      <c r="B20" s="135" t="s">
        <v>80</v>
      </c>
      <c r="C20" s="145"/>
      <c r="D20" s="148"/>
      <c r="E20" s="136"/>
      <c r="F20" s="136"/>
      <c r="G20" s="136"/>
      <c r="H20" s="137"/>
      <c r="I20" s="151"/>
      <c r="J20" s="136"/>
      <c r="K20" s="136"/>
      <c r="L20" s="136"/>
      <c r="M20" s="137"/>
    </row>
    <row r="21" spans="1:16" x14ac:dyDescent="0.25">
      <c r="A21" s="73">
        <f t="shared" si="0"/>
        <v>13</v>
      </c>
      <c r="B21" s="3" t="s">
        <v>2</v>
      </c>
      <c r="C21" s="39" t="s">
        <v>14</v>
      </c>
      <c r="D21" s="41">
        <f>Summary!$D$10</f>
        <v>1230987469.6565385</v>
      </c>
      <c r="E21" s="281">
        <f>E10</f>
        <v>1.0349999999999999</v>
      </c>
      <c r="F21" s="5">
        <f>D21*E21</f>
        <v>1274072031.0945172</v>
      </c>
      <c r="G21" s="97">
        <f>'COP Rates'!C63+'COP Rates'!E63</f>
        <v>4.8999999999999998E-3</v>
      </c>
      <c r="H21" s="98">
        <f>F21*G21</f>
        <v>6242952.9523631344</v>
      </c>
      <c r="I21" s="41">
        <f>Summary!$G$10</f>
        <v>1262245325.811132</v>
      </c>
      <c r="J21" s="281">
        <f>J10</f>
        <v>1.0349999999999999</v>
      </c>
      <c r="K21" s="5">
        <f>I21*J21</f>
        <v>1306423912.2145214</v>
      </c>
      <c r="L21" s="97">
        <f>'COP Rates'!D63+'COP Rates'!F63</f>
        <v>4.8999999999999998E-3</v>
      </c>
      <c r="M21" s="98">
        <f>K21*L21</f>
        <v>6401477.169851155</v>
      </c>
      <c r="N21" s="1"/>
      <c r="P21" s="97"/>
    </row>
    <row r="22" spans="1:16" x14ac:dyDescent="0.25">
      <c r="A22" s="73">
        <f t="shared" si="0"/>
        <v>14</v>
      </c>
      <c r="B22" s="3" t="s">
        <v>81</v>
      </c>
      <c r="C22" s="39" t="s">
        <v>14</v>
      </c>
      <c r="D22" s="41">
        <f>Summary!$D$11</f>
        <v>380432613.87734354</v>
      </c>
      <c r="E22" s="281">
        <f t="shared" ref="E22:E29" si="7">E11</f>
        <v>1.0349999999999999</v>
      </c>
      <c r="F22" s="5">
        <f t="shared" ref="F22:F29" si="8">D22*E22</f>
        <v>393747755.36305052</v>
      </c>
      <c r="G22" s="97">
        <f>'COP Rates'!C64+'COP Rates'!E64</f>
        <v>4.8999999999999998E-3</v>
      </c>
      <c r="H22" s="98">
        <f t="shared" ref="H22:H29" si="9">F22*G22</f>
        <v>1929364.0012789476</v>
      </c>
      <c r="I22" s="41">
        <f>Summary!$G$11</f>
        <v>378149495.88686538</v>
      </c>
      <c r="J22" s="281">
        <f t="shared" ref="J22:J29" si="10">J11</f>
        <v>1.0349999999999999</v>
      </c>
      <c r="K22" s="5">
        <f t="shared" ref="K22:K29" si="11">I22*J22</f>
        <v>391384728.24290562</v>
      </c>
      <c r="L22" s="97">
        <f>'COP Rates'!D64+'COP Rates'!F64</f>
        <v>4.8999999999999998E-3</v>
      </c>
      <c r="M22" s="98">
        <f t="shared" ref="M22:M29" si="12">K22*L22</f>
        <v>1917785.1683902375</v>
      </c>
      <c r="N22" s="1"/>
    </row>
    <row r="23" spans="1:16" x14ac:dyDescent="0.25">
      <c r="A23" s="73">
        <f t="shared" si="0"/>
        <v>15</v>
      </c>
      <c r="B23" s="3" t="s">
        <v>82</v>
      </c>
      <c r="C23" s="39" t="s">
        <v>14</v>
      </c>
      <c r="D23" s="41">
        <f>Summary!$D$12</f>
        <v>1375278188.9321187</v>
      </c>
      <c r="E23" s="281">
        <f t="shared" si="7"/>
        <v>1.0349999999999999</v>
      </c>
      <c r="F23" s="5">
        <f t="shared" si="8"/>
        <v>1423412925.5447426</v>
      </c>
      <c r="G23" s="97">
        <f>'COP Rates'!C65+'COP Rates'!E65</f>
        <v>4.8999999999999998E-3</v>
      </c>
      <c r="H23" s="98">
        <f t="shared" si="9"/>
        <v>6974723.335169238</v>
      </c>
      <c r="I23" s="41">
        <f>Summary!$G$12</f>
        <v>1356339581.2559984</v>
      </c>
      <c r="J23" s="281">
        <f t="shared" si="10"/>
        <v>1.0349999999999999</v>
      </c>
      <c r="K23" s="5">
        <f t="shared" si="11"/>
        <v>1403811466.5999582</v>
      </c>
      <c r="L23" s="97">
        <f>'COP Rates'!D65+'COP Rates'!F65</f>
        <v>4.8999999999999998E-3</v>
      </c>
      <c r="M23" s="98">
        <f t="shared" si="12"/>
        <v>6878676.1863397947</v>
      </c>
      <c r="N23" s="1"/>
    </row>
    <row r="24" spans="1:16" x14ac:dyDescent="0.25">
      <c r="A24" s="73">
        <f t="shared" si="0"/>
        <v>16</v>
      </c>
      <c r="B24" s="133" t="s">
        <v>83</v>
      </c>
      <c r="C24" s="39" t="s">
        <v>14</v>
      </c>
      <c r="D24" s="41"/>
      <c r="E24" s="281">
        <f t="shared" si="7"/>
        <v>1.0349999999999999</v>
      </c>
      <c r="F24" s="5">
        <f t="shared" ref="F24" si="13">D24*E24</f>
        <v>0</v>
      </c>
      <c r="G24" s="97">
        <f>'COP Rates'!C66+'COP Rates'!E66</f>
        <v>4.8999999999999998E-3</v>
      </c>
      <c r="H24" s="98">
        <f t="shared" ref="H24" si="14">F24*G24</f>
        <v>0</v>
      </c>
      <c r="I24" s="41"/>
      <c r="J24" s="281">
        <f t="shared" si="10"/>
        <v>1.0349999999999999</v>
      </c>
      <c r="K24" s="5">
        <f t="shared" ref="K24" si="15">I24*J24</f>
        <v>0</v>
      </c>
      <c r="L24" s="97">
        <f>'COP Rates'!D66+'COP Rates'!F66</f>
        <v>4.8999999999999998E-3</v>
      </c>
      <c r="M24" s="98">
        <f t="shared" ref="M24" si="16">K24*L24</f>
        <v>0</v>
      </c>
      <c r="N24" s="1"/>
    </row>
    <row r="25" spans="1:16" x14ac:dyDescent="0.25">
      <c r="A25" s="73">
        <f t="shared" si="0"/>
        <v>17</v>
      </c>
      <c r="B25" s="3" t="s">
        <v>158</v>
      </c>
      <c r="C25" s="39" t="s">
        <v>14</v>
      </c>
      <c r="D25" s="41">
        <f>Summary!$D$14</f>
        <v>34027713.451067165</v>
      </c>
      <c r="E25" s="281">
        <f t="shared" si="7"/>
        <v>1.0136000000000001</v>
      </c>
      <c r="F25" s="5">
        <f t="shared" si="8"/>
        <v>34490490.354001679</v>
      </c>
      <c r="G25" s="97">
        <f>'COP Rates'!C67+'COP Rates'!E67</f>
        <v>4.8999999999999998E-3</v>
      </c>
      <c r="H25" s="98">
        <f t="shared" si="9"/>
        <v>169003.40273460821</v>
      </c>
      <c r="I25" s="41">
        <f>I14</f>
        <v>30765107.162167553</v>
      </c>
      <c r="J25" s="281">
        <f t="shared" si="10"/>
        <v>1.0136000000000001</v>
      </c>
      <c r="K25" s="5">
        <f t="shared" si="11"/>
        <v>31183512.619573034</v>
      </c>
      <c r="L25" s="97">
        <f>'COP Rates'!D67+'COP Rates'!F67</f>
        <v>4.8999999999999998E-3</v>
      </c>
      <c r="M25" s="98">
        <f t="shared" si="12"/>
        <v>152799.21183590786</v>
      </c>
      <c r="N25" s="1"/>
    </row>
    <row r="26" spans="1:16" x14ac:dyDescent="0.25">
      <c r="A26" s="73">
        <f t="shared" si="0"/>
        <v>18</v>
      </c>
      <c r="B26" s="3" t="s">
        <v>5</v>
      </c>
      <c r="C26" s="39" t="s">
        <v>14</v>
      </c>
      <c r="D26" s="41">
        <f>Summary!$D$16</f>
        <v>97901443.054430395</v>
      </c>
      <c r="E26" s="281">
        <f t="shared" si="7"/>
        <v>1.0136000000000001</v>
      </c>
      <c r="F26" s="5">
        <f t="shared" si="8"/>
        <v>99232902.679970652</v>
      </c>
      <c r="G26" s="97">
        <f>'COP Rates'!C68+'COP Rates'!E68</f>
        <v>4.8999999999999998E-3</v>
      </c>
      <c r="H26" s="98">
        <f t="shared" si="9"/>
        <v>486241.22313185618</v>
      </c>
      <c r="I26" s="41">
        <f>I15</f>
        <v>92148673.013821095</v>
      </c>
      <c r="J26" s="281">
        <f t="shared" si="10"/>
        <v>1.0136000000000001</v>
      </c>
      <c r="K26" s="5">
        <f t="shared" si="11"/>
        <v>93401894.966809064</v>
      </c>
      <c r="L26" s="97">
        <f>'COP Rates'!D68+'COP Rates'!F68</f>
        <v>4.8999999999999998E-3</v>
      </c>
      <c r="M26" s="98">
        <f t="shared" si="12"/>
        <v>457669.28533736442</v>
      </c>
      <c r="N26" s="1"/>
    </row>
    <row r="27" spans="1:16" x14ac:dyDescent="0.25">
      <c r="A27" s="73">
        <f t="shared" si="0"/>
        <v>19</v>
      </c>
      <c r="B27" s="3" t="s">
        <v>7</v>
      </c>
      <c r="C27" s="39" t="s">
        <v>14</v>
      </c>
      <c r="D27" s="41">
        <f>Summary!$D$17</f>
        <v>15876132.043679912</v>
      </c>
      <c r="E27" s="281">
        <f t="shared" si="7"/>
        <v>1.0349999999999999</v>
      </c>
      <c r="F27" s="5">
        <f t="shared" si="8"/>
        <v>16431796.665208707</v>
      </c>
      <c r="G27" s="97">
        <f>'COP Rates'!C69+'COP Rates'!E69</f>
        <v>4.8999999999999998E-3</v>
      </c>
      <c r="H27" s="98">
        <f t="shared" si="9"/>
        <v>80515.803659522659</v>
      </c>
      <c r="I27" s="41">
        <f>Summary!$G$17</f>
        <v>14936832</v>
      </c>
      <c r="J27" s="281">
        <f t="shared" si="10"/>
        <v>1.0349999999999999</v>
      </c>
      <c r="K27" s="5">
        <f t="shared" si="11"/>
        <v>15459621.119999999</v>
      </c>
      <c r="L27" s="97">
        <f>'COP Rates'!D69+'COP Rates'!F69</f>
        <v>4.8999999999999998E-3</v>
      </c>
      <c r="M27" s="98">
        <f t="shared" si="12"/>
        <v>75752.143487999987</v>
      </c>
      <c r="N27" s="1"/>
    </row>
    <row r="28" spans="1:16" x14ac:dyDescent="0.25">
      <c r="A28" s="73">
        <f t="shared" si="0"/>
        <v>20</v>
      </c>
      <c r="B28" s="3" t="s">
        <v>8</v>
      </c>
      <c r="C28" s="39" t="s">
        <v>14</v>
      </c>
      <c r="D28" s="41">
        <f>Summary!$D$18</f>
        <v>497133.20239277999</v>
      </c>
      <c r="E28" s="281">
        <f t="shared" si="7"/>
        <v>1.0349999999999999</v>
      </c>
      <c r="F28" s="5">
        <f t="shared" si="8"/>
        <v>514532.86447652726</v>
      </c>
      <c r="G28" s="97">
        <f>'COP Rates'!C70+'COP Rates'!E70</f>
        <v>4.8999999999999998E-3</v>
      </c>
      <c r="H28" s="98">
        <f t="shared" si="9"/>
        <v>2521.2110359349836</v>
      </c>
      <c r="I28" s="41">
        <f>Summary!$G$18</f>
        <v>462196</v>
      </c>
      <c r="J28" s="281">
        <f t="shared" si="10"/>
        <v>1.0349999999999999</v>
      </c>
      <c r="K28" s="5">
        <f t="shared" si="11"/>
        <v>478372.86</v>
      </c>
      <c r="L28" s="97">
        <f>'COP Rates'!D70+'COP Rates'!F70</f>
        <v>4.8999999999999998E-3</v>
      </c>
      <c r="M28" s="98">
        <f t="shared" si="12"/>
        <v>2344.0270139999998</v>
      </c>
      <c r="N28" s="1"/>
    </row>
    <row r="29" spans="1:16" x14ac:dyDescent="0.25">
      <c r="A29" s="73">
        <f t="shared" si="0"/>
        <v>21</v>
      </c>
      <c r="B29" s="3" t="s">
        <v>84</v>
      </c>
      <c r="C29" s="39" t="s">
        <v>14</v>
      </c>
      <c r="D29" s="41">
        <f>Summary!$D$19</f>
        <v>5369917.9124142854</v>
      </c>
      <c r="E29" s="281">
        <f t="shared" si="7"/>
        <v>1.0349999999999999</v>
      </c>
      <c r="F29" s="5">
        <f t="shared" si="8"/>
        <v>5557865.0393487848</v>
      </c>
      <c r="G29" s="97">
        <f>'COP Rates'!C71+'COP Rates'!E71</f>
        <v>4.8999999999999998E-3</v>
      </c>
      <c r="H29" s="98">
        <f t="shared" si="9"/>
        <v>27233.538692809045</v>
      </c>
      <c r="I29" s="41">
        <f>Summary!$G$19</f>
        <v>5323401</v>
      </c>
      <c r="J29" s="281">
        <f t="shared" si="10"/>
        <v>1.0349999999999999</v>
      </c>
      <c r="K29" s="5">
        <f t="shared" si="11"/>
        <v>5509720.0349999992</v>
      </c>
      <c r="L29" s="97">
        <f>'COP Rates'!D71+'COP Rates'!F71</f>
        <v>4.8999999999999998E-3</v>
      </c>
      <c r="M29" s="98">
        <f t="shared" si="12"/>
        <v>26997.628171499997</v>
      </c>
      <c r="N29" s="1"/>
    </row>
    <row r="30" spans="1:16" x14ac:dyDescent="0.25">
      <c r="A30" s="139">
        <f t="shared" si="0"/>
        <v>22</v>
      </c>
      <c r="B30" s="110" t="s">
        <v>9</v>
      </c>
      <c r="C30" s="146"/>
      <c r="D30" s="149">
        <f>SUM(D21:D29)</f>
        <v>3140370612.1299844</v>
      </c>
      <c r="E30" s="110"/>
      <c r="F30" s="110"/>
      <c r="G30" s="110"/>
      <c r="H30" s="140">
        <f>SUM(H21:H29)</f>
        <v>15912555.46806605</v>
      </c>
      <c r="I30" s="293">
        <f>SUM(I21:I29)</f>
        <v>3140370612.1299844</v>
      </c>
      <c r="J30" s="110"/>
      <c r="K30" s="110"/>
      <c r="L30" s="110"/>
      <c r="M30" s="140">
        <f>SUM(M21:M29)</f>
        <v>15913500.820427958</v>
      </c>
    </row>
    <row r="31" spans="1:16" x14ac:dyDescent="0.25">
      <c r="A31" s="134">
        <f t="shared" si="0"/>
        <v>23</v>
      </c>
      <c r="B31" s="135" t="s">
        <v>85</v>
      </c>
      <c r="C31" s="145"/>
      <c r="D31" s="148"/>
      <c r="E31" s="136"/>
      <c r="F31" s="136"/>
      <c r="G31" s="136"/>
      <c r="H31" s="137"/>
      <c r="I31" s="151"/>
      <c r="J31" s="136"/>
      <c r="K31" s="136"/>
      <c r="L31" s="136"/>
      <c r="M31" s="137"/>
    </row>
    <row r="32" spans="1:16" x14ac:dyDescent="0.25">
      <c r="A32" s="73">
        <f t="shared" si="0"/>
        <v>24</v>
      </c>
      <c r="B32" s="3" t="s">
        <v>2</v>
      </c>
      <c r="C32" s="39" t="s">
        <v>86</v>
      </c>
      <c r="D32" s="41">
        <f>Summary!C10</f>
        <v>148601.06295987862</v>
      </c>
      <c r="E32" s="3"/>
      <c r="F32" s="5">
        <f>D32</f>
        <v>148601.06295987862</v>
      </c>
      <c r="G32" s="97">
        <f>'COP Rates'!C75</f>
        <v>0.79</v>
      </c>
      <c r="H32" s="98">
        <f>F32*G32*12</f>
        <v>1408738.0768596493</v>
      </c>
      <c r="I32" s="41">
        <f>Summary!F10</f>
        <v>150243</v>
      </c>
      <c r="J32" s="3"/>
      <c r="K32" s="5">
        <f>I32</f>
        <v>150243</v>
      </c>
      <c r="L32" s="97">
        <f>'COP Rates'!D75</f>
        <v>0.79</v>
      </c>
      <c r="M32" s="98">
        <f>K32*L32*12</f>
        <v>1424303.6400000001</v>
      </c>
    </row>
    <row r="33" spans="1:13" x14ac:dyDescent="0.25">
      <c r="A33" s="73">
        <f t="shared" si="0"/>
        <v>25</v>
      </c>
      <c r="B33" s="3" t="s">
        <v>81</v>
      </c>
      <c r="C33" s="39" t="s">
        <v>86</v>
      </c>
      <c r="D33" s="41">
        <f>Summary!C11</f>
        <v>12980.848331278936</v>
      </c>
      <c r="E33" s="3"/>
      <c r="F33" s="5">
        <f>D33</f>
        <v>12980.848331278936</v>
      </c>
      <c r="G33" s="97">
        <f>'COP Rates'!C76</f>
        <v>0.79</v>
      </c>
      <c r="H33" s="98">
        <f>F33*G33*12</f>
        <v>123058.44218052432</v>
      </c>
      <c r="I33" s="41">
        <f>Summary!F11</f>
        <v>13071</v>
      </c>
      <c r="J33" s="3"/>
      <c r="K33" s="5">
        <f>I33</f>
        <v>13071</v>
      </c>
      <c r="L33" s="97">
        <f>'COP Rates'!D76</f>
        <v>0.79</v>
      </c>
      <c r="M33" s="98">
        <f>K33*L33*12</f>
        <v>123913.08</v>
      </c>
    </row>
    <row r="34" spans="1:13" x14ac:dyDescent="0.25">
      <c r="A34" s="73">
        <f t="shared" si="0"/>
        <v>26</v>
      </c>
      <c r="B34" s="3" t="s">
        <v>82</v>
      </c>
      <c r="C34" s="39"/>
      <c r="D34" s="41"/>
      <c r="E34" s="3"/>
      <c r="F34" s="5"/>
      <c r="G34" s="97"/>
      <c r="H34" s="98"/>
      <c r="I34" s="41"/>
      <c r="J34" s="3"/>
      <c r="K34" s="5"/>
      <c r="L34" s="97"/>
      <c r="M34" s="98"/>
    </row>
    <row r="35" spans="1:13" x14ac:dyDescent="0.25">
      <c r="A35" s="73">
        <f t="shared" si="0"/>
        <v>27</v>
      </c>
      <c r="B35" s="133" t="s">
        <v>83</v>
      </c>
      <c r="C35" s="39"/>
      <c r="D35" s="41"/>
      <c r="E35" s="3"/>
      <c r="F35" s="5"/>
      <c r="G35" s="97"/>
      <c r="H35" s="98"/>
      <c r="I35" s="41"/>
      <c r="J35" s="3"/>
      <c r="K35" s="5"/>
      <c r="L35" s="97"/>
      <c r="M35" s="98"/>
    </row>
    <row r="36" spans="1:13" x14ac:dyDescent="0.25">
      <c r="A36" s="73">
        <f t="shared" si="0"/>
        <v>28</v>
      </c>
      <c r="B36" s="3" t="s">
        <v>158</v>
      </c>
      <c r="C36" s="39"/>
      <c r="D36" s="41"/>
      <c r="E36" s="3"/>
      <c r="F36" s="5"/>
      <c r="G36" s="97"/>
      <c r="H36" s="98"/>
      <c r="I36" s="41"/>
      <c r="J36" s="3"/>
      <c r="K36" s="5"/>
      <c r="L36" s="97"/>
      <c r="M36" s="98"/>
    </row>
    <row r="37" spans="1:13" x14ac:dyDescent="0.25">
      <c r="A37" s="73">
        <f t="shared" si="0"/>
        <v>29</v>
      </c>
      <c r="B37" s="3" t="s">
        <v>5</v>
      </c>
      <c r="C37" s="39"/>
      <c r="D37" s="41"/>
      <c r="E37" s="3"/>
      <c r="F37" s="5"/>
      <c r="G37" s="97"/>
      <c r="H37" s="98"/>
      <c r="I37" s="41"/>
      <c r="J37" s="3"/>
      <c r="K37" s="5"/>
      <c r="L37" s="97"/>
      <c r="M37" s="98"/>
    </row>
    <row r="38" spans="1:13" x14ac:dyDescent="0.25">
      <c r="A38" s="73">
        <f t="shared" si="0"/>
        <v>30</v>
      </c>
      <c r="B38" s="3" t="s">
        <v>7</v>
      </c>
      <c r="C38" s="39"/>
      <c r="D38" s="41"/>
      <c r="E38" s="3"/>
      <c r="F38" s="5"/>
      <c r="G38" s="97"/>
      <c r="H38" s="98"/>
      <c r="I38" s="41"/>
      <c r="J38" s="3"/>
      <c r="K38" s="5"/>
      <c r="L38" s="97"/>
      <c r="M38" s="98"/>
    </row>
    <row r="39" spans="1:13" x14ac:dyDescent="0.25">
      <c r="A39" s="73">
        <f t="shared" si="0"/>
        <v>31</v>
      </c>
      <c r="B39" s="42" t="s">
        <v>8</v>
      </c>
      <c r="C39" s="39"/>
      <c r="D39" s="41"/>
      <c r="E39" s="3"/>
      <c r="F39" s="5"/>
      <c r="G39" s="97"/>
      <c r="H39" s="98"/>
      <c r="I39" s="41"/>
      <c r="J39" s="3"/>
      <c r="K39" s="5"/>
      <c r="L39" s="97"/>
      <c r="M39" s="98"/>
    </row>
    <row r="40" spans="1:13" x14ac:dyDescent="0.25">
      <c r="A40" s="73">
        <f t="shared" si="0"/>
        <v>32</v>
      </c>
      <c r="B40" s="12" t="s">
        <v>84</v>
      </c>
      <c r="C40" s="286"/>
      <c r="H40" s="287"/>
      <c r="M40" s="287"/>
    </row>
    <row r="41" spans="1:13" x14ac:dyDescent="0.25">
      <c r="A41" s="139">
        <f t="shared" si="0"/>
        <v>33</v>
      </c>
      <c r="B41" s="110" t="s">
        <v>9</v>
      </c>
      <c r="C41" s="146"/>
      <c r="D41" s="149"/>
      <c r="E41" s="110"/>
      <c r="F41" s="110"/>
      <c r="G41" s="110"/>
      <c r="H41" s="140">
        <f>SUM(H32:H39)</f>
        <v>1531796.5190401736</v>
      </c>
      <c r="I41" s="85"/>
      <c r="J41" s="110"/>
      <c r="K41" s="110"/>
      <c r="L41" s="110"/>
      <c r="M41" s="140">
        <f>SUM(M32:M39)</f>
        <v>1548216.7200000002</v>
      </c>
    </row>
    <row r="42" spans="1:13" x14ac:dyDescent="0.25">
      <c r="A42" s="134">
        <f>A41+1</f>
        <v>34</v>
      </c>
      <c r="B42" s="135" t="s">
        <v>87</v>
      </c>
      <c r="C42" s="145"/>
      <c r="D42" s="148"/>
      <c r="E42" s="136"/>
      <c r="F42" s="136"/>
      <c r="G42" s="136"/>
      <c r="H42" s="137"/>
      <c r="I42" s="151"/>
      <c r="J42" s="136"/>
      <c r="K42" s="136"/>
      <c r="L42" s="136"/>
      <c r="M42" s="137"/>
    </row>
    <row r="43" spans="1:13" x14ac:dyDescent="0.25">
      <c r="A43" s="73">
        <f t="shared" si="0"/>
        <v>35</v>
      </c>
      <c r="B43" s="3" t="s">
        <v>2</v>
      </c>
      <c r="C43" s="39" t="s">
        <v>14</v>
      </c>
      <c r="D43" s="41">
        <f>Summary!D10</f>
        <v>1230987469.6565385</v>
      </c>
      <c r="E43" s="281">
        <f>'COP Rates'!D8</f>
        <v>1.0349999999999999</v>
      </c>
      <c r="F43" s="5">
        <f t="shared" ref="F43" si="17">IF(C43="kwh",D43*E43,D43)</f>
        <v>1274072031.0945172</v>
      </c>
      <c r="G43" s="97">
        <f>'COP Rates'!C51</f>
        <v>6.8999999999999999E-3</v>
      </c>
      <c r="H43" s="98">
        <f>F43*G43</f>
        <v>8791097.0145521685</v>
      </c>
      <c r="I43" s="41">
        <f>Summary!G10</f>
        <v>1262245325.811132</v>
      </c>
      <c r="J43" s="3">
        <f>'COP Rates'!D8</f>
        <v>1.0349999999999999</v>
      </c>
      <c r="K43" s="5">
        <f t="shared" ref="K43:K51" si="18">IF(C43="kwh",I43*J43,I43)</f>
        <v>1306423912.2145214</v>
      </c>
      <c r="L43" s="97">
        <f>'COP Rates'!D51</f>
        <v>6.8999999999999999E-3</v>
      </c>
      <c r="M43" s="98">
        <f>K43*L43</f>
        <v>9014324.9942801967</v>
      </c>
    </row>
    <row r="44" spans="1:13" x14ac:dyDescent="0.25">
      <c r="A44" s="73">
        <f t="shared" si="0"/>
        <v>36</v>
      </c>
      <c r="B44" s="3" t="s">
        <v>81</v>
      </c>
      <c r="C44" s="39" t="s">
        <v>14</v>
      </c>
      <c r="D44" s="41">
        <f>Summary!D11</f>
        <v>380432613.87734354</v>
      </c>
      <c r="E44" s="281">
        <f>E43</f>
        <v>1.0349999999999999</v>
      </c>
      <c r="F44" s="5">
        <f t="shared" ref="F44:F51" si="19">IF(C44="kwh",D44*E44,D44)</f>
        <v>393747755.36305052</v>
      </c>
      <c r="G44" s="97">
        <f>'COP Rates'!C52</f>
        <v>6.4999999999999997E-3</v>
      </c>
      <c r="H44" s="98">
        <f t="shared" ref="H44:H51" si="20">F44*G44</f>
        <v>2559360.4098598282</v>
      </c>
      <c r="I44" s="41">
        <f>Summary!G11</f>
        <v>378149495.88686538</v>
      </c>
      <c r="J44" s="3">
        <f>J43</f>
        <v>1.0349999999999999</v>
      </c>
      <c r="K44" s="5">
        <f t="shared" si="18"/>
        <v>391384728.24290562</v>
      </c>
      <c r="L44" s="97">
        <f>'COP Rates'!D52</f>
        <v>6.4999999999999997E-3</v>
      </c>
      <c r="M44" s="98">
        <f t="shared" ref="M44:M51" si="21">K44*L44</f>
        <v>2544000.7335788864</v>
      </c>
    </row>
    <row r="45" spans="1:13" x14ac:dyDescent="0.25">
      <c r="A45" s="73">
        <f t="shared" si="0"/>
        <v>37</v>
      </c>
      <c r="B45" s="3" t="s">
        <v>82</v>
      </c>
      <c r="C45" s="39" t="s">
        <v>30</v>
      </c>
      <c r="D45" s="41">
        <f>Summary!E27</f>
        <v>3472577</v>
      </c>
      <c r="E45" s="281"/>
      <c r="F45" s="5">
        <f t="shared" si="19"/>
        <v>3472577</v>
      </c>
      <c r="G45" s="97">
        <f>'COP Rates'!C53</f>
        <v>2.9350999999999998</v>
      </c>
      <c r="H45" s="98">
        <f t="shared" si="20"/>
        <v>10192360.752699999</v>
      </c>
      <c r="I45" s="41">
        <f>Summary!H27</f>
        <v>3424757</v>
      </c>
      <c r="J45" s="3"/>
      <c r="K45" s="5">
        <f t="shared" si="18"/>
        <v>3424757</v>
      </c>
      <c r="L45" s="97">
        <f>'COP Rates'!D53</f>
        <v>2.9350999999999998</v>
      </c>
      <c r="M45" s="98">
        <f t="shared" si="21"/>
        <v>10052004.2707</v>
      </c>
    </row>
    <row r="46" spans="1:13" x14ac:dyDescent="0.25">
      <c r="A46" s="73">
        <f t="shared" si="0"/>
        <v>38</v>
      </c>
      <c r="B46" s="133" t="s">
        <v>83</v>
      </c>
      <c r="C46" s="10" t="s">
        <v>30</v>
      </c>
      <c r="D46" s="41">
        <f>Summary!E28</f>
        <v>27448.685521272113</v>
      </c>
      <c r="E46" s="281"/>
      <c r="F46" s="5">
        <f t="shared" si="19"/>
        <v>27448.685521272113</v>
      </c>
      <c r="G46" s="97">
        <f>'COP Rates'!C54</f>
        <v>2.9350999999999998</v>
      </c>
      <c r="H46" s="98">
        <f t="shared" si="20"/>
        <v>80564.636873485768</v>
      </c>
      <c r="I46" s="41">
        <f>Summary!H28</f>
        <v>27169.531619587819</v>
      </c>
      <c r="J46" s="3"/>
      <c r="K46" s="5">
        <f t="shared" si="18"/>
        <v>27169.531619587819</v>
      </c>
      <c r="L46" s="97">
        <f>'COP Rates'!D54</f>
        <v>2.9350999999999998</v>
      </c>
      <c r="M46" s="98">
        <f t="shared" si="21"/>
        <v>79745.292256652203</v>
      </c>
    </row>
    <row r="47" spans="1:13" x14ac:dyDescent="0.25">
      <c r="A47" s="73">
        <f t="shared" si="0"/>
        <v>39</v>
      </c>
      <c r="B47" s="3" t="s">
        <v>158</v>
      </c>
      <c r="C47" s="39" t="s">
        <v>30</v>
      </c>
      <c r="D47" s="41">
        <f>Summary!E29</f>
        <v>72330.202499999999</v>
      </c>
      <c r="E47" s="281"/>
      <c r="F47" s="5">
        <f t="shared" si="19"/>
        <v>72330.202499999999</v>
      </c>
      <c r="G47" s="97">
        <f>'COP Rates'!C55</f>
        <v>3.3883999999999999</v>
      </c>
      <c r="H47" s="98">
        <f t="shared" si="20"/>
        <v>245083.65815099998</v>
      </c>
      <c r="I47" s="41">
        <f>Summary!H29</f>
        <v>72330.202499999999</v>
      </c>
      <c r="J47" s="3"/>
      <c r="K47" s="5">
        <f t="shared" si="18"/>
        <v>72330.202499999999</v>
      </c>
      <c r="L47" s="97">
        <f>'COP Rates'!D55</f>
        <v>3.3883999999999999</v>
      </c>
      <c r="M47" s="98">
        <f t="shared" si="21"/>
        <v>245083.65815099998</v>
      </c>
    </row>
    <row r="48" spans="1:13" x14ac:dyDescent="0.25">
      <c r="A48" s="73">
        <f t="shared" si="0"/>
        <v>40</v>
      </c>
      <c r="B48" s="3" t="s">
        <v>5</v>
      </c>
      <c r="C48" s="39" t="s">
        <v>30</v>
      </c>
      <c r="D48" s="41">
        <f>Summary!E16</f>
        <v>186013</v>
      </c>
      <c r="E48" s="281"/>
      <c r="F48" s="5">
        <f t="shared" si="19"/>
        <v>186013</v>
      </c>
      <c r="G48" s="97">
        <f>'COP Rates'!C56</f>
        <v>3.0066000000000002</v>
      </c>
      <c r="H48" s="98">
        <f t="shared" si="20"/>
        <v>559266.68579999998</v>
      </c>
      <c r="I48" s="41">
        <f>Summary!H31</f>
        <v>175082</v>
      </c>
      <c r="J48" s="3"/>
      <c r="K48" s="5">
        <f t="shared" si="18"/>
        <v>175082</v>
      </c>
      <c r="L48" s="97">
        <f>'COP Rates'!D56</f>
        <v>3.0066000000000002</v>
      </c>
      <c r="M48" s="98">
        <f t="shared" si="21"/>
        <v>526401.54119999998</v>
      </c>
    </row>
    <row r="49" spans="1:13" x14ac:dyDescent="0.25">
      <c r="A49" s="73">
        <f t="shared" si="0"/>
        <v>41</v>
      </c>
      <c r="B49" s="3" t="s">
        <v>7</v>
      </c>
      <c r="C49" s="39" t="s">
        <v>30</v>
      </c>
      <c r="D49" s="41">
        <f>Summary!E17</f>
        <v>44453</v>
      </c>
      <c r="E49" s="281"/>
      <c r="F49" s="5">
        <f t="shared" si="19"/>
        <v>44453</v>
      </c>
      <c r="G49" s="97">
        <f>'COP Rates'!C57</f>
        <v>2.0152999999999999</v>
      </c>
      <c r="H49" s="98">
        <f t="shared" si="20"/>
        <v>89586.130899999989</v>
      </c>
      <c r="I49" s="41">
        <f>Summary!H32</f>
        <v>41823</v>
      </c>
      <c r="J49" s="3"/>
      <c r="K49" s="5">
        <f t="shared" si="18"/>
        <v>41823</v>
      </c>
      <c r="L49" s="97">
        <f>'COP Rates'!D57</f>
        <v>2.0152999999999999</v>
      </c>
      <c r="M49" s="98">
        <f t="shared" si="21"/>
        <v>84285.891899999988</v>
      </c>
    </row>
    <row r="50" spans="1:13" x14ac:dyDescent="0.25">
      <c r="A50" s="73">
        <f t="shared" si="0"/>
        <v>42</v>
      </c>
      <c r="B50" s="3" t="s">
        <v>8</v>
      </c>
      <c r="C50" s="39" t="s">
        <v>30</v>
      </c>
      <c r="D50" s="41">
        <f>Summary!E18</f>
        <v>1342</v>
      </c>
      <c r="E50" s="281"/>
      <c r="F50" s="5">
        <f t="shared" si="19"/>
        <v>1342</v>
      </c>
      <c r="G50" s="97">
        <f>'COP Rates'!C58</f>
        <v>2.0179999999999998</v>
      </c>
      <c r="H50" s="98">
        <f t="shared" si="20"/>
        <v>2708.1559999999999</v>
      </c>
      <c r="I50" s="41">
        <f>Summary!H33</f>
        <v>1248</v>
      </c>
      <c r="J50" s="3"/>
      <c r="K50" s="5">
        <f t="shared" si="18"/>
        <v>1248</v>
      </c>
      <c r="L50" s="97">
        <f>'COP Rates'!D58</f>
        <v>2.0179999999999998</v>
      </c>
      <c r="M50" s="98">
        <f t="shared" si="21"/>
        <v>2518.4639999999999</v>
      </c>
    </row>
    <row r="51" spans="1:13" x14ac:dyDescent="0.25">
      <c r="A51" s="73">
        <f t="shared" si="0"/>
        <v>43</v>
      </c>
      <c r="B51" s="3" t="s">
        <v>84</v>
      </c>
      <c r="C51" s="39" t="s">
        <v>14</v>
      </c>
      <c r="D51" s="41">
        <f>Summary!D19</f>
        <v>5369917.9124142854</v>
      </c>
      <c r="E51" s="281">
        <f>E43</f>
        <v>1.0349999999999999</v>
      </c>
      <c r="F51" s="5">
        <f t="shared" si="19"/>
        <v>5557865.0393487848</v>
      </c>
      <c r="G51" s="97">
        <f>'COP Rates'!C59</f>
        <v>6.4999999999999997E-3</v>
      </c>
      <c r="H51" s="98">
        <f t="shared" si="20"/>
        <v>36126.122755767101</v>
      </c>
      <c r="I51" s="41">
        <f>Summary!G34</f>
        <v>5323401</v>
      </c>
      <c r="J51" s="3">
        <f>J43</f>
        <v>1.0349999999999999</v>
      </c>
      <c r="K51" s="5">
        <f t="shared" si="18"/>
        <v>5509720.0349999992</v>
      </c>
      <c r="L51" s="97">
        <f>'COP Rates'!D59</f>
        <v>6.4999999999999997E-3</v>
      </c>
      <c r="M51" s="98">
        <f t="shared" si="21"/>
        <v>35813.180227499994</v>
      </c>
    </row>
    <row r="52" spans="1:13" x14ac:dyDescent="0.25">
      <c r="A52" s="139">
        <f t="shared" si="0"/>
        <v>44</v>
      </c>
      <c r="B52" s="110" t="s">
        <v>9</v>
      </c>
      <c r="C52" s="146"/>
      <c r="D52" s="149"/>
      <c r="E52" s="110"/>
      <c r="F52" s="110"/>
      <c r="G52" s="110"/>
      <c r="H52" s="140">
        <f>SUM(H43:H51)</f>
        <v>22556153.567592252</v>
      </c>
      <c r="I52" s="85"/>
      <c r="J52" s="110"/>
      <c r="K52" s="110"/>
      <c r="L52" s="110"/>
      <c r="M52" s="140">
        <f>SUM(M43:M51)</f>
        <v>22584178.026294239</v>
      </c>
    </row>
    <row r="53" spans="1:13" x14ac:dyDescent="0.25">
      <c r="A53" s="134">
        <f t="shared" si="0"/>
        <v>45</v>
      </c>
      <c r="B53" s="135" t="s">
        <v>88</v>
      </c>
      <c r="C53" s="145"/>
      <c r="D53" s="148"/>
      <c r="E53" s="136"/>
      <c r="F53" s="136"/>
      <c r="G53" s="136"/>
      <c r="H53" s="137"/>
      <c r="I53" s="151"/>
      <c r="J53" s="136"/>
      <c r="K53" s="136"/>
      <c r="L53" s="136"/>
      <c r="M53" s="137"/>
    </row>
    <row r="54" spans="1:13" x14ac:dyDescent="0.25">
      <c r="A54" s="73">
        <f t="shared" si="0"/>
        <v>46</v>
      </c>
      <c r="B54" s="3" t="s">
        <v>2</v>
      </c>
      <c r="C54" s="39" t="s">
        <v>14</v>
      </c>
      <c r="D54" s="41">
        <f>D43</f>
        <v>1230987469.6565385</v>
      </c>
      <c r="E54" s="281">
        <f>E43</f>
        <v>1.0349999999999999</v>
      </c>
      <c r="F54" s="5">
        <f>IF(C54="kwh",D54*E54,D54)</f>
        <v>1274072031.0945172</v>
      </c>
      <c r="G54" s="97">
        <f>'COP Rates'!E51</f>
        <v>5.7999999999999996E-3</v>
      </c>
      <c r="H54" s="98">
        <f>F54*G54</f>
        <v>7389617.7803481994</v>
      </c>
      <c r="I54" s="41">
        <f t="shared" ref="I54:J55" si="22">I43</f>
        <v>1262245325.811132</v>
      </c>
      <c r="J54" s="3">
        <f t="shared" si="22"/>
        <v>1.0349999999999999</v>
      </c>
      <c r="K54" s="5">
        <f>IF(C54="kwh",I54*J54,I54)</f>
        <v>1306423912.2145214</v>
      </c>
      <c r="L54" s="97">
        <f>'COP Rates'!F51</f>
        <v>5.7999999999999996E-3</v>
      </c>
      <c r="M54" s="98">
        <f>K54*L54</f>
        <v>7577258.6908442238</v>
      </c>
    </row>
    <row r="55" spans="1:13" x14ac:dyDescent="0.25">
      <c r="A55" s="73">
        <f t="shared" si="0"/>
        <v>47</v>
      </c>
      <c r="B55" s="3" t="s">
        <v>81</v>
      </c>
      <c r="C55" s="39" t="s">
        <v>14</v>
      </c>
      <c r="D55" s="41">
        <f t="shared" ref="D55:D62" si="23">D44</f>
        <v>380432613.87734354</v>
      </c>
      <c r="E55" s="281">
        <f>E54</f>
        <v>1.0349999999999999</v>
      </c>
      <c r="F55" s="5">
        <f t="shared" ref="F55:F62" si="24">IF(C55="kwh",D55*E55,D55)</f>
        <v>393747755.36305052</v>
      </c>
      <c r="G55" s="97">
        <f>'COP Rates'!E52</f>
        <v>5.1000000000000004E-3</v>
      </c>
      <c r="H55" s="98">
        <f t="shared" ref="H55:H62" si="25">F55*G55</f>
        <v>2008113.5523515579</v>
      </c>
      <c r="I55" s="41">
        <f t="shared" ref="I55" si="26">I44</f>
        <v>378149495.88686538</v>
      </c>
      <c r="J55" s="3">
        <f t="shared" si="22"/>
        <v>1.0349999999999999</v>
      </c>
      <c r="K55" s="5">
        <f t="shared" ref="K55:K62" si="27">IF(C55="kwh",I55*J55,I55)</f>
        <v>391384728.24290562</v>
      </c>
      <c r="L55" s="97">
        <f>'COP Rates'!F52</f>
        <v>5.1000000000000004E-3</v>
      </c>
      <c r="M55" s="98">
        <f t="shared" ref="M55:M62" si="28">K55*L55</f>
        <v>1996062.1140388187</v>
      </c>
    </row>
    <row r="56" spans="1:13" x14ac:dyDescent="0.25">
      <c r="A56" s="73">
        <f t="shared" si="0"/>
        <v>48</v>
      </c>
      <c r="B56" s="3" t="s">
        <v>82</v>
      </c>
      <c r="C56" s="39" t="s">
        <v>30</v>
      </c>
      <c r="D56" s="41">
        <f t="shared" si="23"/>
        <v>3472577</v>
      </c>
      <c r="E56" s="3"/>
      <c r="F56" s="5">
        <f t="shared" si="24"/>
        <v>3472577</v>
      </c>
      <c r="G56" s="97">
        <f>'COP Rates'!E53</f>
        <v>2.5983999999999998</v>
      </c>
      <c r="H56" s="98">
        <f t="shared" si="25"/>
        <v>9023144.0767999999</v>
      </c>
      <c r="I56" s="41">
        <f t="shared" ref="I56" si="29">I45</f>
        <v>3424757</v>
      </c>
      <c r="J56" s="3"/>
      <c r="K56" s="5">
        <f t="shared" si="27"/>
        <v>3424757</v>
      </c>
      <c r="L56" s="97">
        <f>'COP Rates'!F53</f>
        <v>2.5983999999999998</v>
      </c>
      <c r="M56" s="98">
        <f t="shared" si="28"/>
        <v>8898888.5888</v>
      </c>
    </row>
    <row r="57" spans="1:13" x14ac:dyDescent="0.25">
      <c r="A57" s="73">
        <f t="shared" si="0"/>
        <v>49</v>
      </c>
      <c r="B57" s="133" t="s">
        <v>83</v>
      </c>
      <c r="C57" s="10" t="s">
        <v>30</v>
      </c>
      <c r="D57" s="41">
        <f t="shared" si="23"/>
        <v>27448.685521272113</v>
      </c>
      <c r="E57" s="3"/>
      <c r="F57" s="5">
        <f t="shared" si="24"/>
        <v>27448.685521272113</v>
      </c>
      <c r="G57" s="97">
        <f>'COP Rates'!E54</f>
        <v>2.5983999999999998</v>
      </c>
      <c r="H57" s="98">
        <f t="shared" si="25"/>
        <v>71322.66445847346</v>
      </c>
      <c r="I57" s="41">
        <f t="shared" ref="I57" si="30">I46</f>
        <v>27169.531619587819</v>
      </c>
      <c r="J57" s="3"/>
      <c r="K57" s="5">
        <f t="shared" si="27"/>
        <v>27169.531619587819</v>
      </c>
      <c r="L57" s="97">
        <f>'COP Rates'!F54</f>
        <v>2.5983999999999998</v>
      </c>
      <c r="M57" s="98">
        <f t="shared" si="28"/>
        <v>70597.310960336981</v>
      </c>
    </row>
    <row r="58" spans="1:13" x14ac:dyDescent="0.25">
      <c r="A58" s="73">
        <f t="shared" si="0"/>
        <v>50</v>
      </c>
      <c r="B58" s="3" t="s">
        <v>158</v>
      </c>
      <c r="C58" s="39" t="s">
        <v>30</v>
      </c>
      <c r="D58" s="41">
        <f t="shared" si="23"/>
        <v>72330.202499999999</v>
      </c>
      <c r="E58" s="3"/>
      <c r="F58" s="5">
        <f t="shared" si="24"/>
        <v>72330.202499999999</v>
      </c>
      <c r="G58" s="97">
        <f>'COP Rates'!E55</f>
        <v>2.7484999999999999</v>
      </c>
      <c r="H58" s="98">
        <f t="shared" si="25"/>
        <v>198799.56157125</v>
      </c>
      <c r="I58" s="41">
        <f t="shared" ref="I58" si="31">I47</f>
        <v>72330.202499999999</v>
      </c>
      <c r="J58" s="3"/>
      <c r="K58" s="5">
        <f t="shared" si="27"/>
        <v>72330.202499999999</v>
      </c>
      <c r="L58" s="97">
        <f>'COP Rates'!F55</f>
        <v>2.7484999999999999</v>
      </c>
      <c r="M58" s="98">
        <f t="shared" si="28"/>
        <v>198799.56157125</v>
      </c>
    </row>
    <row r="59" spans="1:13" x14ac:dyDescent="0.25">
      <c r="A59" s="73">
        <f t="shared" si="0"/>
        <v>51</v>
      </c>
      <c r="B59" s="3" t="s">
        <v>5</v>
      </c>
      <c r="C59" s="39" t="s">
        <v>30</v>
      </c>
      <c r="D59" s="41">
        <f t="shared" si="23"/>
        <v>186013</v>
      </c>
      <c r="E59" s="3"/>
      <c r="F59" s="5">
        <f t="shared" si="24"/>
        <v>186013</v>
      </c>
      <c r="G59" s="97">
        <f>'COP Rates'!E56</f>
        <v>2.5983999999999998</v>
      </c>
      <c r="H59" s="98">
        <f t="shared" si="25"/>
        <v>483336.17919999996</v>
      </c>
      <c r="I59" s="41">
        <f t="shared" ref="I59" si="32">I48</f>
        <v>175082</v>
      </c>
      <c r="J59" s="3"/>
      <c r="K59" s="5">
        <f t="shared" si="27"/>
        <v>175082</v>
      </c>
      <c r="L59" s="97">
        <f>'COP Rates'!F56</f>
        <v>2.5983999999999998</v>
      </c>
      <c r="M59" s="98">
        <f t="shared" si="28"/>
        <v>454933.06879999995</v>
      </c>
    </row>
    <row r="60" spans="1:13" x14ac:dyDescent="0.25">
      <c r="A60" s="73">
        <f t="shared" si="0"/>
        <v>52</v>
      </c>
      <c r="B60" s="3" t="s">
        <v>7</v>
      </c>
      <c r="C60" s="39" t="s">
        <v>30</v>
      </c>
      <c r="D60" s="41">
        <f t="shared" si="23"/>
        <v>44453</v>
      </c>
      <c r="E60" s="3"/>
      <c r="F60" s="5">
        <f t="shared" si="24"/>
        <v>44453</v>
      </c>
      <c r="G60" s="97">
        <f>'COP Rates'!E57</f>
        <v>1.6418999999999999</v>
      </c>
      <c r="H60" s="98">
        <f t="shared" si="25"/>
        <v>72987.380699999994</v>
      </c>
      <c r="I60" s="41">
        <f t="shared" ref="I60" si="33">I49</f>
        <v>41823</v>
      </c>
      <c r="J60" s="3"/>
      <c r="K60" s="5">
        <f t="shared" si="27"/>
        <v>41823</v>
      </c>
      <c r="L60" s="97">
        <f>'COP Rates'!F57</f>
        <v>1.6418999999999999</v>
      </c>
      <c r="M60" s="98">
        <f t="shared" si="28"/>
        <v>68669.183699999994</v>
      </c>
    </row>
    <row r="61" spans="1:13" x14ac:dyDescent="0.25">
      <c r="A61" s="73">
        <f t="shared" si="0"/>
        <v>53</v>
      </c>
      <c r="B61" s="3" t="s">
        <v>8</v>
      </c>
      <c r="C61" s="39" t="s">
        <v>30</v>
      </c>
      <c r="D61" s="41">
        <f t="shared" si="23"/>
        <v>1342</v>
      </c>
      <c r="E61" s="3"/>
      <c r="F61" s="5">
        <f t="shared" si="24"/>
        <v>1342</v>
      </c>
      <c r="G61" s="97">
        <f>'COP Rates'!E58</f>
        <v>1.6440999999999999</v>
      </c>
      <c r="H61" s="98">
        <f t="shared" si="25"/>
        <v>2206.3822</v>
      </c>
      <c r="I61" s="41">
        <f t="shared" ref="I61" si="34">I50</f>
        <v>1248</v>
      </c>
      <c r="J61" s="3"/>
      <c r="K61" s="5">
        <f t="shared" si="27"/>
        <v>1248</v>
      </c>
      <c r="L61" s="97">
        <f>'COP Rates'!F58</f>
        <v>1.6440999999999999</v>
      </c>
      <c r="M61" s="98">
        <f t="shared" si="28"/>
        <v>2051.8368</v>
      </c>
    </row>
    <row r="62" spans="1:13" x14ac:dyDescent="0.25">
      <c r="A62" s="73">
        <f t="shared" si="0"/>
        <v>54</v>
      </c>
      <c r="B62" s="3" t="s">
        <v>84</v>
      </c>
      <c r="C62" s="39" t="s">
        <v>30</v>
      </c>
      <c r="D62" s="41">
        <f t="shared" si="23"/>
        <v>5369917.9124142854</v>
      </c>
      <c r="E62" s="281">
        <f>E54</f>
        <v>1.0349999999999999</v>
      </c>
      <c r="F62" s="5">
        <f t="shared" si="24"/>
        <v>5369917.9124142854</v>
      </c>
      <c r="G62" s="97">
        <f>'COP Rates'!E59</f>
        <v>5.1000000000000004E-3</v>
      </c>
      <c r="H62" s="98">
        <f t="shared" si="25"/>
        <v>27386.581353312857</v>
      </c>
      <c r="I62" s="41">
        <f t="shared" ref="I62" si="35">I51</f>
        <v>5323401</v>
      </c>
      <c r="J62" s="3">
        <f t="shared" ref="J62" si="36">J51</f>
        <v>1.0349999999999999</v>
      </c>
      <c r="K62" s="5">
        <f t="shared" si="27"/>
        <v>5323401</v>
      </c>
      <c r="L62" s="97">
        <f>'COP Rates'!F59</f>
        <v>5.1000000000000004E-3</v>
      </c>
      <c r="M62" s="98">
        <f t="shared" si="28"/>
        <v>27149.345100000002</v>
      </c>
    </row>
    <row r="63" spans="1:13" x14ac:dyDescent="0.25">
      <c r="A63" s="139">
        <f t="shared" si="0"/>
        <v>55</v>
      </c>
      <c r="B63" s="110" t="s">
        <v>9</v>
      </c>
      <c r="C63" s="146"/>
      <c r="D63" s="149"/>
      <c r="E63" s="110"/>
      <c r="F63" s="110"/>
      <c r="G63" s="110"/>
      <c r="H63" s="140">
        <f>SUM(H54:H62)</f>
        <v>19276914.158982795</v>
      </c>
      <c r="I63" s="85"/>
      <c r="J63" s="110"/>
      <c r="K63" s="110"/>
      <c r="L63" s="110"/>
      <c r="M63" s="140">
        <f>SUM(M54:M62)</f>
        <v>19294409.700614631</v>
      </c>
    </row>
    <row r="64" spans="1:13" ht="15.75" x14ac:dyDescent="0.25">
      <c r="A64" s="152">
        <f t="shared" si="0"/>
        <v>56</v>
      </c>
      <c r="B64" s="153" t="s">
        <v>89</v>
      </c>
      <c r="C64" s="153"/>
      <c r="D64" s="154"/>
      <c r="E64" s="153"/>
      <c r="F64" s="153"/>
      <c r="G64" s="153"/>
      <c r="H64" s="155">
        <f>SUM(H19,H30,H41,H52,H63)</f>
        <v>414722272.94892544</v>
      </c>
      <c r="I64" s="153"/>
      <c r="J64" s="153"/>
      <c r="K64" s="153"/>
      <c r="L64" s="153"/>
      <c r="M64" s="155">
        <f>SUM(M19,M30,M41,M52,M63)</f>
        <v>414806275.20078886</v>
      </c>
    </row>
    <row r="65" spans="8:13" x14ac:dyDescent="0.25">
      <c r="H65" s="101"/>
      <c r="M65" s="101"/>
    </row>
    <row r="66" spans="8:13" x14ac:dyDescent="0.25">
      <c r="H66" s="101"/>
      <c r="M66" s="101"/>
    </row>
    <row r="67" spans="8:13" x14ac:dyDescent="0.25">
      <c r="H67" s="101"/>
      <c r="M67" s="101"/>
    </row>
    <row r="68" spans="8:13" x14ac:dyDescent="0.25">
      <c r="H68" s="101"/>
      <c r="M68" s="101"/>
    </row>
    <row r="69" spans="8:13" x14ac:dyDescent="0.25">
      <c r="H69" s="101"/>
      <c r="M69" s="101"/>
    </row>
    <row r="70" spans="8:13" x14ac:dyDescent="0.25">
      <c r="M70" s="101"/>
    </row>
  </sheetData>
  <mergeCells count="5">
    <mergeCell ref="D7:H7"/>
    <mergeCell ref="I7:M7"/>
    <mergeCell ref="A7:A8"/>
    <mergeCell ref="B7:B8"/>
    <mergeCell ref="C7:C8"/>
  </mergeCells>
  <pageMargins left="0.5" right="0.5" top="0.5" bottom="0.5" header="0.3" footer="0.3"/>
  <pageSetup scale="59" orientation="portrait" r:id="rId1"/>
  <ignoredErrors>
    <ignoredError sqref="G10 L10:L11 L19"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theme="8" tint="0.79998168889431442"/>
    <pageSetUpPr fitToPage="1"/>
  </sheetPr>
  <dimension ref="A1:G81"/>
  <sheetViews>
    <sheetView workbookViewId="0">
      <pane xSplit="2" ySplit="7" topLeftCell="C20" activePane="bottomRight" state="frozen"/>
      <selection activeCell="A2" sqref="A2"/>
      <selection pane="topRight" activeCell="A2" sqref="A2"/>
      <selection pane="bottomLeft" activeCell="A2" sqref="A2"/>
      <selection pane="bottomRight" activeCell="D34" sqref="D34"/>
    </sheetView>
  </sheetViews>
  <sheetFormatPr defaultRowHeight="15" x14ac:dyDescent="0.25"/>
  <cols>
    <col min="1" max="1" width="14.28515625" customWidth="1"/>
    <col min="2" max="2" width="42.42578125" customWidth="1"/>
    <col min="3" max="3" width="7.28515625" customWidth="1"/>
    <col min="4" max="4" width="18.5703125" bestFit="1" customWidth="1"/>
    <col min="5" max="5" width="19.7109375" bestFit="1" customWidth="1"/>
    <col min="6" max="6" width="21" customWidth="1"/>
    <col min="7" max="7" width="14.5703125" bestFit="1" customWidth="1"/>
  </cols>
  <sheetData>
    <row r="1" spans="1:6" ht="18.75" x14ac:dyDescent="0.3">
      <c r="A1" s="24" t="str">
        <f>Admin!B3</f>
        <v>London Hydro</v>
      </c>
    </row>
    <row r="2" spans="1:6" ht="18.75" x14ac:dyDescent="0.3">
      <c r="A2" s="24" t="str">
        <f>Admin!B5</f>
        <v>EB-2021-0041</v>
      </c>
    </row>
    <row r="3" spans="1:6" ht="18.75" x14ac:dyDescent="0.3">
      <c r="A3" s="24" t="str">
        <f>Admin!B7</f>
        <v>2022 Load Forecast</v>
      </c>
    </row>
    <row r="4" spans="1:6" ht="18.75" x14ac:dyDescent="0.3">
      <c r="A4" s="24"/>
    </row>
    <row r="5" spans="1:6" ht="19.5" thickBot="1" x14ac:dyDescent="0.35">
      <c r="A5" s="206" t="s">
        <v>182</v>
      </c>
      <c r="B5" s="27"/>
      <c r="C5" s="27"/>
      <c r="D5" s="27"/>
      <c r="E5" s="27"/>
      <c r="F5" s="27"/>
    </row>
    <row r="6" spans="1:6" x14ac:dyDescent="0.25">
      <c r="A6" s="132"/>
    </row>
    <row r="7" spans="1:6" ht="15" customHeight="1" x14ac:dyDescent="0.25">
      <c r="A7" s="294" t="s">
        <v>128</v>
      </c>
      <c r="B7" s="291" t="s">
        <v>23</v>
      </c>
      <c r="C7" s="292" t="s">
        <v>133</v>
      </c>
      <c r="D7" s="290" t="s">
        <v>76</v>
      </c>
      <c r="E7" s="290" t="s">
        <v>160</v>
      </c>
      <c r="F7" s="299" t="s">
        <v>129</v>
      </c>
    </row>
    <row r="8" spans="1:6" s="28" customFormat="1" ht="30" customHeight="1" x14ac:dyDescent="0.25">
      <c r="A8" s="207"/>
      <c r="B8" s="212">
        <v>2016</v>
      </c>
      <c r="C8" s="208"/>
      <c r="D8" s="209"/>
      <c r="E8" s="210"/>
      <c r="F8" s="211"/>
    </row>
    <row r="9" spans="1:6" x14ac:dyDescent="0.25">
      <c r="A9" s="191">
        <v>1</v>
      </c>
      <c r="B9" s="178" t="s">
        <v>130</v>
      </c>
      <c r="C9" s="197"/>
      <c r="D9" s="297"/>
      <c r="E9" s="178"/>
      <c r="F9" s="187"/>
    </row>
    <row r="10" spans="1:6" x14ac:dyDescent="0.25">
      <c r="A10" s="73">
        <f t="shared" ref="A10:A29" si="0">A9+1</f>
        <v>2</v>
      </c>
      <c r="B10" s="3" t="s">
        <v>2</v>
      </c>
      <c r="C10" s="295" t="s">
        <v>86</v>
      </c>
      <c r="D10" s="183">
        <f>Summary!C10</f>
        <v>148601.06295987862</v>
      </c>
      <c r="E10" s="296">
        <v>16.420000000000002</v>
      </c>
      <c r="F10" s="16">
        <f>D10*E10*12</f>
        <v>29280353.445614487</v>
      </c>
    </row>
    <row r="11" spans="1:6" x14ac:dyDescent="0.25">
      <c r="A11" s="73">
        <f t="shared" si="0"/>
        <v>3</v>
      </c>
      <c r="B11" s="3" t="s">
        <v>81</v>
      </c>
      <c r="C11" s="295" t="s">
        <v>86</v>
      </c>
      <c r="D11" s="183">
        <f>Summary!C11</f>
        <v>12980.848331278936</v>
      </c>
      <c r="E11" s="296">
        <v>32.25</v>
      </c>
      <c r="F11" s="16">
        <f t="shared" ref="F11:F18" si="1">D11*E11*12</f>
        <v>5023588.3042049482</v>
      </c>
    </row>
    <row r="12" spans="1:6" x14ac:dyDescent="0.25">
      <c r="A12" s="73">
        <f t="shared" si="0"/>
        <v>4</v>
      </c>
      <c r="B12" s="3" t="s">
        <v>82</v>
      </c>
      <c r="C12" s="295" t="s">
        <v>86</v>
      </c>
      <c r="D12" s="183">
        <f>Summary!C12</f>
        <v>1520.284044065904</v>
      </c>
      <c r="E12" s="296">
        <v>157.55000000000001</v>
      </c>
      <c r="F12" s="16">
        <f t="shared" si="1"/>
        <v>2874249.0137109985</v>
      </c>
    </row>
    <row r="13" spans="1:6" x14ac:dyDescent="0.25">
      <c r="A13" s="73">
        <f t="shared" si="0"/>
        <v>5</v>
      </c>
      <c r="B13" s="3" t="s">
        <v>158</v>
      </c>
      <c r="C13" s="295" t="s">
        <v>86</v>
      </c>
      <c r="D13" s="183">
        <f>Summary!C14</f>
        <v>8.5967014501137751</v>
      </c>
      <c r="E13" s="296">
        <v>2523.9899999999998</v>
      </c>
      <c r="F13" s="16">
        <f t="shared" si="1"/>
        <v>260375.86191687197</v>
      </c>
    </row>
    <row r="14" spans="1:6" x14ac:dyDescent="0.25">
      <c r="A14" s="73">
        <f t="shared" si="0"/>
        <v>6</v>
      </c>
      <c r="B14" s="3" t="s">
        <v>175</v>
      </c>
      <c r="C14" s="295" t="s">
        <v>86</v>
      </c>
      <c r="D14" s="183"/>
      <c r="E14" s="296"/>
      <c r="F14" s="16">
        <f t="shared" si="1"/>
        <v>0</v>
      </c>
    </row>
    <row r="15" spans="1:6" x14ac:dyDescent="0.25">
      <c r="A15" s="73">
        <f t="shared" si="0"/>
        <v>7</v>
      </c>
      <c r="B15" s="3" t="s">
        <v>5</v>
      </c>
      <c r="C15" s="295" t="s">
        <v>86</v>
      </c>
      <c r="D15" s="183">
        <f>Summary!C16</f>
        <v>1</v>
      </c>
      <c r="E15" s="296">
        <v>20286.64</v>
      </c>
      <c r="F15" s="16">
        <f t="shared" si="1"/>
        <v>243439.68</v>
      </c>
    </row>
    <row r="16" spans="1:6" x14ac:dyDescent="0.25">
      <c r="A16" s="73">
        <f t="shared" si="0"/>
        <v>8</v>
      </c>
      <c r="B16" s="3" t="s">
        <v>7</v>
      </c>
      <c r="C16" s="295" t="s">
        <v>132</v>
      </c>
      <c r="D16" s="183">
        <f>Summary!C17</f>
        <v>38348.145033043264</v>
      </c>
      <c r="E16" s="296">
        <v>1.64</v>
      </c>
      <c r="F16" s="16">
        <f t="shared" si="1"/>
        <v>754691.49425029138</v>
      </c>
    </row>
    <row r="17" spans="1:7" x14ac:dyDescent="0.25">
      <c r="A17" s="73">
        <f t="shared" si="0"/>
        <v>9</v>
      </c>
      <c r="B17" s="3" t="s">
        <v>8</v>
      </c>
      <c r="C17" s="295" t="s">
        <v>132</v>
      </c>
      <c r="D17" s="183">
        <f>Summary!C18</f>
        <v>497.63083322600602</v>
      </c>
      <c r="E17" s="296">
        <v>3.48</v>
      </c>
      <c r="F17" s="16">
        <f t="shared" si="1"/>
        <v>20781.063595518011</v>
      </c>
    </row>
    <row r="18" spans="1:7" x14ac:dyDescent="0.25">
      <c r="A18" s="73">
        <f t="shared" si="0"/>
        <v>10</v>
      </c>
      <c r="B18" s="3" t="s">
        <v>84</v>
      </c>
      <c r="C18" s="298" t="s">
        <v>132</v>
      </c>
      <c r="D18" s="183">
        <f>Summary!C19</f>
        <v>1536.0177095006536</v>
      </c>
      <c r="E18" s="296">
        <v>2.08</v>
      </c>
      <c r="F18" s="16">
        <f t="shared" si="1"/>
        <v>38339.002029136318</v>
      </c>
    </row>
    <row r="19" spans="1:7" x14ac:dyDescent="0.25">
      <c r="A19" s="139">
        <f>A18+1</f>
        <v>11</v>
      </c>
      <c r="B19" s="192" t="s">
        <v>32</v>
      </c>
      <c r="C19" s="198"/>
      <c r="D19" s="111"/>
      <c r="E19" s="111"/>
      <c r="F19" s="112">
        <f>SUM(F10:F18)</f>
        <v>38495817.865322247</v>
      </c>
    </row>
    <row r="20" spans="1:7" x14ac:dyDescent="0.25">
      <c r="A20" s="191">
        <f t="shared" si="0"/>
        <v>12</v>
      </c>
      <c r="B20" s="188" t="s">
        <v>131</v>
      </c>
      <c r="C20" s="199"/>
      <c r="D20" s="303"/>
      <c r="E20" s="196"/>
      <c r="F20" s="203"/>
    </row>
    <row r="21" spans="1:7" x14ac:dyDescent="0.25">
      <c r="A21" s="73">
        <f t="shared" si="0"/>
        <v>13</v>
      </c>
      <c r="B21" s="3" t="s">
        <v>2</v>
      </c>
      <c r="C21" s="10" t="s">
        <v>14</v>
      </c>
      <c r="D21" s="183">
        <f>'COP Forecast'!D43</f>
        <v>1230987469.6565385</v>
      </c>
      <c r="E21" s="300">
        <v>1.21E-2</v>
      </c>
      <c r="F21" s="16">
        <f>D21*E21</f>
        <v>14894948.382844115</v>
      </c>
    </row>
    <row r="22" spans="1:7" x14ac:dyDescent="0.25">
      <c r="A22" s="73">
        <f t="shared" si="0"/>
        <v>14</v>
      </c>
      <c r="B22" s="3" t="s">
        <v>81</v>
      </c>
      <c r="C22" s="10" t="s">
        <v>14</v>
      </c>
      <c r="D22" s="183">
        <f>'COP Forecast'!D44</f>
        <v>380432613.87734354</v>
      </c>
      <c r="E22" s="300">
        <v>1.04E-2</v>
      </c>
      <c r="F22" s="16">
        <f t="shared" ref="F22:F29" si="2">D22*E22</f>
        <v>3956499.1843243726</v>
      </c>
    </row>
    <row r="23" spans="1:7" x14ac:dyDescent="0.25">
      <c r="A23" s="73">
        <f t="shared" si="0"/>
        <v>15</v>
      </c>
      <c r="B23" s="3" t="s">
        <v>82</v>
      </c>
      <c r="C23" s="10" t="s">
        <v>30</v>
      </c>
      <c r="D23" s="304">
        <f>'COP Forecast'!D45</f>
        <v>3472577</v>
      </c>
      <c r="E23" s="300">
        <v>2.6297999999999999</v>
      </c>
      <c r="F23" s="16">
        <f t="shared" si="2"/>
        <v>9132182.9945999999</v>
      </c>
      <c r="G23" s="68"/>
    </row>
    <row r="24" spans="1:7" x14ac:dyDescent="0.25">
      <c r="A24" s="73">
        <f t="shared" si="0"/>
        <v>16</v>
      </c>
      <c r="B24" s="3" t="s">
        <v>158</v>
      </c>
      <c r="C24" s="10" t="s">
        <v>30</v>
      </c>
      <c r="D24" s="183">
        <f>'COP Forecast'!D47</f>
        <v>72330.202499999999</v>
      </c>
      <c r="E24" s="300">
        <v>4.4089999999999998</v>
      </c>
      <c r="F24" s="16">
        <f t="shared" si="2"/>
        <v>318903.8628225</v>
      </c>
      <c r="G24" s="2"/>
    </row>
    <row r="25" spans="1:7" x14ac:dyDescent="0.25">
      <c r="A25" s="73">
        <f t="shared" si="0"/>
        <v>17</v>
      </c>
      <c r="B25" s="3" t="s">
        <v>175</v>
      </c>
      <c r="C25" s="10" t="s">
        <v>30</v>
      </c>
      <c r="D25" s="183">
        <f>'Rate Class Demand Model'!E28</f>
        <v>172800</v>
      </c>
      <c r="E25" s="300">
        <v>3.0486</v>
      </c>
      <c r="F25" s="16">
        <f t="shared" si="2"/>
        <v>526798.07999999996</v>
      </c>
      <c r="G25" s="68"/>
    </row>
    <row r="26" spans="1:7" x14ac:dyDescent="0.25">
      <c r="A26" s="73">
        <f t="shared" si="0"/>
        <v>18</v>
      </c>
      <c r="B26" s="3" t="s">
        <v>5</v>
      </c>
      <c r="C26" s="10" t="s">
        <v>30</v>
      </c>
      <c r="D26" s="183">
        <f>'COP Forecast'!D48</f>
        <v>186013</v>
      </c>
      <c r="E26" s="300">
        <v>2.2002999999999999</v>
      </c>
      <c r="F26" s="16">
        <f t="shared" si="2"/>
        <v>409284.40389999998</v>
      </c>
    </row>
    <row r="27" spans="1:7" x14ac:dyDescent="0.25">
      <c r="A27" s="73">
        <f t="shared" si="0"/>
        <v>19</v>
      </c>
      <c r="B27" s="3" t="s">
        <v>7</v>
      </c>
      <c r="C27" s="301" t="s">
        <v>14</v>
      </c>
      <c r="D27" s="183">
        <f>'COP Forecast'!D49</f>
        <v>44453</v>
      </c>
      <c r="E27" s="300">
        <v>8.5143000000000004</v>
      </c>
      <c r="F27" s="16">
        <f t="shared" si="2"/>
        <v>378486.17790000001</v>
      </c>
    </row>
    <row r="28" spans="1:7" x14ac:dyDescent="0.25">
      <c r="A28" s="73">
        <f t="shared" si="0"/>
        <v>20</v>
      </c>
      <c r="B28" s="3" t="s">
        <v>8</v>
      </c>
      <c r="C28" s="301" t="s">
        <v>30</v>
      </c>
      <c r="D28" s="183">
        <f>'COP Forecast'!D50</f>
        <v>1342</v>
      </c>
      <c r="E28" s="300">
        <v>11.483700000000001</v>
      </c>
      <c r="F28" s="16">
        <f t="shared" si="2"/>
        <v>15411.125400000001</v>
      </c>
    </row>
    <row r="29" spans="1:7" x14ac:dyDescent="0.25">
      <c r="A29" s="73">
        <f t="shared" si="0"/>
        <v>21</v>
      </c>
      <c r="B29" s="3" t="s">
        <v>84</v>
      </c>
      <c r="C29" s="302" t="s">
        <v>30</v>
      </c>
      <c r="D29" s="183">
        <f>'COP Forecast'!D51</f>
        <v>5369917.9124142854</v>
      </c>
      <c r="E29" s="300">
        <v>1.7999999999999999E-2</v>
      </c>
      <c r="F29" s="16">
        <f t="shared" si="2"/>
        <v>96658.522423457136</v>
      </c>
    </row>
    <row r="30" spans="1:7" x14ac:dyDescent="0.25">
      <c r="A30" s="139">
        <f>A29+1</f>
        <v>22</v>
      </c>
      <c r="B30" s="110" t="s">
        <v>9</v>
      </c>
      <c r="C30" s="146"/>
      <c r="D30" s="111"/>
      <c r="E30" s="111"/>
      <c r="F30" s="112">
        <f>SUM(F21:F29)</f>
        <v>29729172.734214444</v>
      </c>
    </row>
    <row r="31" spans="1:7" x14ac:dyDescent="0.25">
      <c r="A31" s="191">
        <f>A30+1</f>
        <v>23</v>
      </c>
      <c r="B31" s="188" t="s">
        <v>176</v>
      </c>
      <c r="C31" s="199"/>
      <c r="D31" s="202"/>
      <c r="E31" s="196"/>
      <c r="F31" s="203"/>
    </row>
    <row r="32" spans="1:7" x14ac:dyDescent="0.25">
      <c r="A32" s="73">
        <f t="shared" ref="A32:A40" si="3">A31+1</f>
        <v>24</v>
      </c>
      <c r="B32" s="3" t="s">
        <v>2</v>
      </c>
      <c r="C32" s="10"/>
      <c r="D32" s="183"/>
      <c r="E32" s="300"/>
      <c r="F32" s="16"/>
    </row>
    <row r="33" spans="1:6" x14ac:dyDescent="0.25">
      <c r="A33" s="73">
        <f t="shared" si="3"/>
        <v>25</v>
      </c>
      <c r="B33" s="3" t="s">
        <v>81</v>
      </c>
      <c r="C33" s="10"/>
      <c r="D33" s="183"/>
      <c r="E33" s="300"/>
      <c r="F33" s="16"/>
    </row>
    <row r="34" spans="1:6" x14ac:dyDescent="0.25">
      <c r="A34" s="73">
        <f t="shared" si="3"/>
        <v>26</v>
      </c>
      <c r="B34" s="3" t="s">
        <v>82</v>
      </c>
      <c r="C34" s="10" t="s">
        <v>177</v>
      </c>
      <c r="D34" s="304">
        <f>'Transformer Allowance'!D30</f>
        <v>993090.30903527536</v>
      </c>
      <c r="E34" s="300">
        <v>-0.6</v>
      </c>
      <c r="F34" s="16">
        <f>D34*E34</f>
        <v>-595854.1854211652</v>
      </c>
    </row>
    <row r="35" spans="1:6" x14ac:dyDescent="0.25">
      <c r="A35" s="73">
        <f t="shared" si="3"/>
        <v>27</v>
      </c>
      <c r="B35" s="3" t="s">
        <v>158</v>
      </c>
      <c r="C35" s="10" t="s">
        <v>177</v>
      </c>
      <c r="D35" s="183">
        <f>'Transformer Allowance'!F27</f>
        <v>72330.202499999999</v>
      </c>
      <c r="E35" s="300">
        <v>-0.6</v>
      </c>
      <c r="F35" s="16">
        <f t="shared" ref="F35:F36" si="4">D35*E35</f>
        <v>-43398.121500000001</v>
      </c>
    </row>
    <row r="36" spans="1:6" x14ac:dyDescent="0.25">
      <c r="A36" s="73">
        <f t="shared" si="3"/>
        <v>28</v>
      </c>
      <c r="B36" s="3" t="s">
        <v>175</v>
      </c>
      <c r="C36" s="10" t="s">
        <v>177</v>
      </c>
      <c r="D36" s="183">
        <f>'Transformer Allowance'!E30</f>
        <v>172800</v>
      </c>
      <c r="E36" s="300">
        <v>-0.6</v>
      </c>
      <c r="F36" s="16">
        <f t="shared" si="4"/>
        <v>-103680</v>
      </c>
    </row>
    <row r="37" spans="1:6" x14ac:dyDescent="0.25">
      <c r="A37" s="73">
        <f t="shared" si="3"/>
        <v>29</v>
      </c>
      <c r="B37" s="3" t="s">
        <v>5</v>
      </c>
      <c r="C37" s="10"/>
      <c r="D37" s="183"/>
      <c r="E37" s="300"/>
      <c r="F37" s="16"/>
    </row>
    <row r="38" spans="1:6" x14ac:dyDescent="0.25">
      <c r="A38" s="73">
        <f t="shared" si="3"/>
        <v>30</v>
      </c>
      <c r="B38" s="3" t="s">
        <v>7</v>
      </c>
      <c r="C38" s="301"/>
      <c r="D38" s="183"/>
      <c r="E38" s="300"/>
      <c r="F38" s="16"/>
    </row>
    <row r="39" spans="1:6" x14ac:dyDescent="0.25">
      <c r="A39" s="73">
        <f t="shared" si="3"/>
        <v>31</v>
      </c>
      <c r="B39" s="3" t="s">
        <v>8</v>
      </c>
      <c r="C39" s="301"/>
      <c r="D39" s="183"/>
      <c r="E39" s="300"/>
      <c r="F39" s="16"/>
    </row>
    <row r="40" spans="1:6" x14ac:dyDescent="0.25">
      <c r="A40" s="73">
        <f t="shared" si="3"/>
        <v>32</v>
      </c>
      <c r="B40" s="3" t="s">
        <v>84</v>
      </c>
      <c r="C40" s="302"/>
      <c r="D40" s="183"/>
      <c r="E40" s="300"/>
      <c r="F40" s="16"/>
    </row>
    <row r="41" spans="1:6" x14ac:dyDescent="0.25">
      <c r="A41" s="139">
        <f>A40+1</f>
        <v>33</v>
      </c>
      <c r="B41" s="110" t="s">
        <v>9</v>
      </c>
      <c r="C41" s="146"/>
      <c r="D41" s="149"/>
      <c r="E41" s="111"/>
      <c r="F41" s="112">
        <f>SUM(F32:F40)</f>
        <v>-742932.3069211652</v>
      </c>
    </row>
    <row r="42" spans="1:6" s="28" customFormat="1" ht="30" customHeight="1" x14ac:dyDescent="0.25">
      <c r="A42" s="193">
        <f>A41+1</f>
        <v>34</v>
      </c>
      <c r="B42" s="194" t="s">
        <v>89</v>
      </c>
      <c r="C42" s="200"/>
      <c r="D42" s="204"/>
      <c r="E42" s="195"/>
      <c r="F42" s="205">
        <f>SUM(F19,F30,F41)</f>
        <v>67482058.292615518</v>
      </c>
    </row>
    <row r="43" spans="1:6" s="28" customFormat="1" ht="30" customHeight="1" x14ac:dyDescent="0.25">
      <c r="A43" s="207"/>
      <c r="B43" s="212">
        <v>2017</v>
      </c>
      <c r="C43" s="208"/>
      <c r="D43" s="209"/>
      <c r="E43" s="210"/>
      <c r="F43" s="211"/>
    </row>
    <row r="44" spans="1:6" x14ac:dyDescent="0.25">
      <c r="A44" s="191">
        <v>1</v>
      </c>
      <c r="B44" s="178" t="s">
        <v>130</v>
      </c>
      <c r="C44" s="197"/>
      <c r="D44" s="201"/>
      <c r="E44" s="178"/>
      <c r="F44" s="187"/>
    </row>
    <row r="45" spans="1:6" x14ac:dyDescent="0.25">
      <c r="A45" s="73">
        <f t="shared" ref="A45:A64" si="5">A44+1</f>
        <v>2</v>
      </c>
      <c r="B45" s="3" t="s">
        <v>2</v>
      </c>
      <c r="C45" s="295" t="s">
        <v>86</v>
      </c>
      <c r="D45" s="183">
        <f>Summary!F10</f>
        <v>150243</v>
      </c>
      <c r="E45" s="300">
        <f>E10</f>
        <v>16.420000000000002</v>
      </c>
      <c r="F45" s="16">
        <f>D45*E45*12</f>
        <v>29603880.719999999</v>
      </c>
    </row>
    <row r="46" spans="1:6" x14ac:dyDescent="0.25">
      <c r="A46" s="73">
        <f t="shared" si="5"/>
        <v>3</v>
      </c>
      <c r="B46" s="3" t="s">
        <v>81</v>
      </c>
      <c r="C46" s="295" t="s">
        <v>86</v>
      </c>
      <c r="D46" s="183">
        <f>Summary!F11</f>
        <v>13071</v>
      </c>
      <c r="E46" s="300">
        <f t="shared" ref="E46:E53" si="6">E11</f>
        <v>32.25</v>
      </c>
      <c r="F46" s="16">
        <f t="shared" ref="F46:F53" si="7">D46*E46*12</f>
        <v>5058477</v>
      </c>
    </row>
    <row r="47" spans="1:6" x14ac:dyDescent="0.25">
      <c r="A47" s="73">
        <f t="shared" si="5"/>
        <v>4</v>
      </c>
      <c r="B47" s="3" t="s">
        <v>82</v>
      </c>
      <c r="C47" s="295" t="s">
        <v>86</v>
      </c>
      <c r="D47" s="304">
        <f>Summary!F12</f>
        <v>1507</v>
      </c>
      <c r="E47" s="300">
        <f t="shared" si="6"/>
        <v>157.55000000000001</v>
      </c>
      <c r="F47" s="16">
        <f t="shared" si="7"/>
        <v>2849134.2</v>
      </c>
    </row>
    <row r="48" spans="1:6" x14ac:dyDescent="0.25">
      <c r="A48" s="73">
        <f t="shared" si="5"/>
        <v>5</v>
      </c>
      <c r="B48" s="3" t="s">
        <v>158</v>
      </c>
      <c r="C48" s="295" t="s">
        <v>86</v>
      </c>
      <c r="D48" s="183">
        <f>Summary!F14</f>
        <v>9</v>
      </c>
      <c r="E48" s="300">
        <f t="shared" si="6"/>
        <v>2523.9899999999998</v>
      </c>
      <c r="F48" s="16">
        <f t="shared" si="7"/>
        <v>272590.91999999993</v>
      </c>
    </row>
    <row r="49" spans="1:7" x14ac:dyDescent="0.25">
      <c r="A49" s="73">
        <f t="shared" si="5"/>
        <v>6</v>
      </c>
      <c r="B49" s="3" t="s">
        <v>175</v>
      </c>
      <c r="C49" s="295" t="s">
        <v>86</v>
      </c>
      <c r="D49" s="183"/>
      <c r="E49" s="300">
        <f t="shared" si="6"/>
        <v>0</v>
      </c>
      <c r="F49" s="16">
        <f t="shared" si="7"/>
        <v>0</v>
      </c>
    </row>
    <row r="50" spans="1:7" x14ac:dyDescent="0.25">
      <c r="A50" s="73">
        <f t="shared" si="5"/>
        <v>7</v>
      </c>
      <c r="B50" s="3" t="s">
        <v>5</v>
      </c>
      <c r="C50" s="295" t="s">
        <v>86</v>
      </c>
      <c r="D50" s="183">
        <f>Summary!F16</f>
        <v>1</v>
      </c>
      <c r="E50" s="300">
        <f t="shared" si="6"/>
        <v>20286.64</v>
      </c>
      <c r="F50" s="16">
        <f t="shared" si="7"/>
        <v>243439.68</v>
      </c>
    </row>
    <row r="51" spans="1:7" x14ac:dyDescent="0.25">
      <c r="A51" s="73">
        <f t="shared" si="5"/>
        <v>8</v>
      </c>
      <c r="B51" s="3" t="s">
        <v>7</v>
      </c>
      <c r="C51" s="295" t="s">
        <v>132</v>
      </c>
      <c r="D51" s="183">
        <f>Summary!F17</f>
        <v>38898</v>
      </c>
      <c r="E51" s="300">
        <f t="shared" si="6"/>
        <v>1.64</v>
      </c>
      <c r="F51" s="16">
        <f t="shared" si="7"/>
        <v>765512.6399999999</v>
      </c>
    </row>
    <row r="52" spans="1:7" x14ac:dyDescent="0.25">
      <c r="A52" s="73">
        <f t="shared" si="5"/>
        <v>9</v>
      </c>
      <c r="B52" s="3" t="s">
        <v>8</v>
      </c>
      <c r="C52" s="295" t="s">
        <v>132</v>
      </c>
      <c r="D52" s="183">
        <f>Summary!F18</f>
        <v>476</v>
      </c>
      <c r="E52" s="300">
        <f t="shared" si="6"/>
        <v>3.48</v>
      </c>
      <c r="F52" s="16">
        <f t="shared" si="7"/>
        <v>19877.760000000002</v>
      </c>
    </row>
    <row r="53" spans="1:7" x14ac:dyDescent="0.25">
      <c r="A53" s="73">
        <f t="shared" si="5"/>
        <v>10</v>
      </c>
      <c r="B53" s="3" t="s">
        <v>84</v>
      </c>
      <c r="C53" s="298" t="s">
        <v>132</v>
      </c>
      <c r="D53" s="183">
        <f>Summary!F19</f>
        <v>1539</v>
      </c>
      <c r="E53" s="300">
        <f t="shared" si="6"/>
        <v>2.08</v>
      </c>
      <c r="F53" s="16">
        <f t="shared" si="7"/>
        <v>38413.440000000002</v>
      </c>
    </row>
    <row r="54" spans="1:7" x14ac:dyDescent="0.25">
      <c r="A54" s="139">
        <f>A53+1</f>
        <v>11</v>
      </c>
      <c r="B54" s="192" t="s">
        <v>32</v>
      </c>
      <c r="C54" s="198"/>
      <c r="D54" s="149">
        <f>SUM(D45:D53)</f>
        <v>205744</v>
      </c>
      <c r="E54" s="111">
        <f>SUM(E45:E53)</f>
        <v>23024.05</v>
      </c>
      <c r="F54" s="112">
        <f>SUM(F45:F53)</f>
        <v>38851326.359999999</v>
      </c>
    </row>
    <row r="55" spans="1:7" x14ac:dyDescent="0.25">
      <c r="A55" s="191">
        <f t="shared" si="5"/>
        <v>12</v>
      </c>
      <c r="B55" s="188" t="s">
        <v>131</v>
      </c>
      <c r="C55" s="199"/>
      <c r="D55" s="202"/>
      <c r="E55" s="196"/>
      <c r="F55" s="203"/>
    </row>
    <row r="56" spans="1:7" x14ac:dyDescent="0.25">
      <c r="A56" s="73">
        <f t="shared" si="5"/>
        <v>13</v>
      </c>
      <c r="B56" s="3" t="s">
        <v>2</v>
      </c>
      <c r="C56" s="10" t="s">
        <v>14</v>
      </c>
      <c r="D56" s="183">
        <f>'COP Forecast'!I43</f>
        <v>1262245325.811132</v>
      </c>
      <c r="E56" s="300">
        <f>E21</f>
        <v>1.21E-2</v>
      </c>
      <c r="F56" s="16">
        <f>D56*E56</f>
        <v>15273168.442314696</v>
      </c>
    </row>
    <row r="57" spans="1:7" x14ac:dyDescent="0.25">
      <c r="A57" s="73">
        <f t="shared" si="5"/>
        <v>14</v>
      </c>
      <c r="B57" s="3" t="s">
        <v>81</v>
      </c>
      <c r="C57" s="10" t="s">
        <v>14</v>
      </c>
      <c r="D57" s="183">
        <f>'COP Forecast'!I44</f>
        <v>378149495.88686538</v>
      </c>
      <c r="E57" s="300">
        <f t="shared" ref="E57:E64" si="8">E22</f>
        <v>1.04E-2</v>
      </c>
      <c r="F57" s="16">
        <f t="shared" ref="F57:F64" si="9">D57*E57</f>
        <v>3932754.7572233998</v>
      </c>
    </row>
    <row r="58" spans="1:7" x14ac:dyDescent="0.25">
      <c r="A58" s="73">
        <f t="shared" si="5"/>
        <v>15</v>
      </c>
      <c r="B58" s="3" t="s">
        <v>82</v>
      </c>
      <c r="C58" s="10" t="s">
        <v>30</v>
      </c>
      <c r="D58" s="304">
        <f>'COP Forecast'!I45</f>
        <v>3424757</v>
      </c>
      <c r="E58" s="300">
        <f t="shared" si="8"/>
        <v>2.6297999999999999</v>
      </c>
      <c r="F58" s="16">
        <f t="shared" si="9"/>
        <v>9006425.9585999995</v>
      </c>
      <c r="G58" s="68"/>
    </row>
    <row r="59" spans="1:7" x14ac:dyDescent="0.25">
      <c r="A59" s="73">
        <f t="shared" si="5"/>
        <v>16</v>
      </c>
      <c r="B59" s="3" t="s">
        <v>158</v>
      </c>
      <c r="C59" s="10" t="s">
        <v>30</v>
      </c>
      <c r="D59" s="183">
        <f>'COP Forecast'!I47</f>
        <v>72330.202499999999</v>
      </c>
      <c r="E59" s="300">
        <f t="shared" si="8"/>
        <v>4.4089999999999998</v>
      </c>
      <c r="F59" s="16">
        <f t="shared" si="9"/>
        <v>318903.8628225</v>
      </c>
      <c r="G59" s="2"/>
    </row>
    <row r="60" spans="1:7" x14ac:dyDescent="0.25">
      <c r="A60" s="73">
        <f t="shared" si="5"/>
        <v>17</v>
      </c>
      <c r="B60" s="3" t="s">
        <v>175</v>
      </c>
      <c r="C60" s="10" t="s">
        <v>30</v>
      </c>
      <c r="D60" s="183">
        <f>'Rate Class Demand Model'!E29</f>
        <v>172800</v>
      </c>
      <c r="E60" s="300">
        <f t="shared" si="8"/>
        <v>3.0486</v>
      </c>
      <c r="F60" s="16">
        <f t="shared" si="9"/>
        <v>526798.07999999996</v>
      </c>
      <c r="G60" s="68"/>
    </row>
    <row r="61" spans="1:7" x14ac:dyDescent="0.25">
      <c r="A61" s="73">
        <f t="shared" si="5"/>
        <v>18</v>
      </c>
      <c r="B61" s="3" t="s">
        <v>5</v>
      </c>
      <c r="C61" s="10" t="s">
        <v>30</v>
      </c>
      <c r="D61" s="183">
        <f>'COP Forecast'!I48</f>
        <v>175082</v>
      </c>
      <c r="E61" s="300">
        <f t="shared" si="8"/>
        <v>2.2002999999999999</v>
      </c>
      <c r="F61" s="16">
        <f t="shared" si="9"/>
        <v>385232.92459999997</v>
      </c>
      <c r="G61" s="68"/>
    </row>
    <row r="62" spans="1:7" x14ac:dyDescent="0.25">
      <c r="A62" s="73">
        <f t="shared" si="5"/>
        <v>19</v>
      </c>
      <c r="B62" s="3" t="s">
        <v>7</v>
      </c>
      <c r="C62" s="10" t="s">
        <v>30</v>
      </c>
      <c r="D62" s="183">
        <f>'COP Forecast'!I49</f>
        <v>41823</v>
      </c>
      <c r="E62" s="300">
        <f t="shared" si="8"/>
        <v>8.5143000000000004</v>
      </c>
      <c r="F62" s="16">
        <f t="shared" si="9"/>
        <v>356093.56890000001</v>
      </c>
    </row>
    <row r="63" spans="1:7" x14ac:dyDescent="0.25">
      <c r="A63" s="73">
        <f t="shared" si="5"/>
        <v>20</v>
      </c>
      <c r="B63" s="3" t="s">
        <v>8</v>
      </c>
      <c r="C63" s="301" t="s">
        <v>14</v>
      </c>
      <c r="D63" s="183">
        <f>'COP Forecast'!I50</f>
        <v>1248</v>
      </c>
      <c r="E63" s="300">
        <f t="shared" si="8"/>
        <v>11.483700000000001</v>
      </c>
      <c r="F63" s="16">
        <f t="shared" si="9"/>
        <v>14331.6576</v>
      </c>
    </row>
    <row r="64" spans="1:7" x14ac:dyDescent="0.25">
      <c r="A64" s="73">
        <f t="shared" si="5"/>
        <v>21</v>
      </c>
      <c r="B64" s="3" t="s">
        <v>84</v>
      </c>
      <c r="C64" s="302" t="s">
        <v>30</v>
      </c>
      <c r="D64" s="183">
        <f>'COP Forecast'!I51</f>
        <v>5323401</v>
      </c>
      <c r="E64" s="300">
        <f t="shared" si="8"/>
        <v>1.7999999999999999E-2</v>
      </c>
      <c r="F64" s="16">
        <f t="shared" si="9"/>
        <v>95821.217999999993</v>
      </c>
    </row>
    <row r="65" spans="1:7" x14ac:dyDescent="0.25">
      <c r="A65" s="139">
        <f>A64+1</f>
        <v>22</v>
      </c>
      <c r="B65" s="110" t="s">
        <v>9</v>
      </c>
      <c r="C65" s="146"/>
      <c r="D65" s="149"/>
      <c r="E65" s="111"/>
      <c r="F65" s="112">
        <f>SUM(F56:F64)</f>
        <v>29909530.470060594</v>
      </c>
    </row>
    <row r="66" spans="1:7" s="28" customFormat="1" x14ac:dyDescent="0.25">
      <c r="A66" s="191">
        <f>A65+1</f>
        <v>23</v>
      </c>
      <c r="B66" s="188" t="s">
        <v>176</v>
      </c>
      <c r="C66" s="199"/>
      <c r="D66" s="202"/>
      <c r="E66" s="196"/>
      <c r="F66" s="203"/>
    </row>
    <row r="67" spans="1:7" x14ac:dyDescent="0.25">
      <c r="A67" s="73">
        <f t="shared" ref="A67:A75" si="10">A66+1</f>
        <v>24</v>
      </c>
      <c r="B67" s="3" t="s">
        <v>2</v>
      </c>
      <c r="C67" s="10"/>
      <c r="D67" s="183"/>
      <c r="E67" s="300"/>
      <c r="F67" s="16"/>
    </row>
    <row r="68" spans="1:7" x14ac:dyDescent="0.25">
      <c r="A68" s="73">
        <f t="shared" si="10"/>
        <v>25</v>
      </c>
      <c r="B68" s="3" t="s">
        <v>81</v>
      </c>
      <c r="C68" s="10"/>
      <c r="D68" s="183"/>
      <c r="E68" s="300"/>
      <c r="F68" s="16"/>
    </row>
    <row r="69" spans="1:7" x14ac:dyDescent="0.25">
      <c r="A69" s="73">
        <f t="shared" si="10"/>
        <v>26</v>
      </c>
      <c r="B69" s="3" t="s">
        <v>82</v>
      </c>
      <c r="C69" s="10" t="s">
        <v>177</v>
      </c>
      <c r="D69" s="304">
        <f>'Transformer Allowance'!D31</f>
        <v>980916.7510158706</v>
      </c>
      <c r="E69" s="300">
        <v>-0.6</v>
      </c>
      <c r="F69" s="16">
        <f>D69*E69</f>
        <v>-588550.05060952238</v>
      </c>
    </row>
    <row r="70" spans="1:7" x14ac:dyDescent="0.25">
      <c r="A70" s="73">
        <f t="shared" si="10"/>
        <v>27</v>
      </c>
      <c r="B70" s="3" t="s">
        <v>158</v>
      </c>
      <c r="C70" s="10" t="s">
        <v>177</v>
      </c>
      <c r="D70" s="183">
        <f>'Transformer Allowance'!F31</f>
        <v>67206.213688299802</v>
      </c>
      <c r="E70" s="300">
        <v>-0.6</v>
      </c>
      <c r="F70" s="16">
        <f t="shared" ref="F70:F71" si="11">D70*E70</f>
        <v>-40323.728212979877</v>
      </c>
    </row>
    <row r="71" spans="1:7" x14ac:dyDescent="0.25">
      <c r="A71" s="73">
        <f t="shared" si="10"/>
        <v>28</v>
      </c>
      <c r="B71" s="3" t="s">
        <v>175</v>
      </c>
      <c r="C71" s="10" t="s">
        <v>177</v>
      </c>
      <c r="D71" s="183">
        <f>'Transformer Allowance'!E31</f>
        <v>172800</v>
      </c>
      <c r="E71" s="300">
        <v>-0.6</v>
      </c>
      <c r="F71" s="16">
        <f t="shared" si="11"/>
        <v>-103680</v>
      </c>
    </row>
    <row r="72" spans="1:7" x14ac:dyDescent="0.25">
      <c r="A72" s="73">
        <f t="shared" si="10"/>
        <v>29</v>
      </c>
      <c r="B72" s="3" t="s">
        <v>5</v>
      </c>
      <c r="C72" s="10"/>
      <c r="D72" s="183"/>
      <c r="E72" s="300"/>
      <c r="F72" s="16"/>
      <c r="G72" s="190"/>
    </row>
    <row r="73" spans="1:7" x14ac:dyDescent="0.25">
      <c r="A73" s="73">
        <f t="shared" si="10"/>
        <v>30</v>
      </c>
      <c r="B73" s="3" t="s">
        <v>7</v>
      </c>
      <c r="C73" s="10"/>
      <c r="D73" s="183"/>
      <c r="E73" s="300"/>
      <c r="F73" s="16"/>
      <c r="G73" s="190"/>
    </row>
    <row r="74" spans="1:7" x14ac:dyDescent="0.25">
      <c r="A74" s="73">
        <f t="shared" si="10"/>
        <v>31</v>
      </c>
      <c r="B74" s="3" t="s">
        <v>8</v>
      </c>
      <c r="C74" s="301"/>
      <c r="D74" s="183"/>
      <c r="E74" s="300"/>
      <c r="F74" s="16"/>
      <c r="G74" s="190"/>
    </row>
    <row r="75" spans="1:7" x14ac:dyDescent="0.25">
      <c r="A75" s="73">
        <f t="shared" si="10"/>
        <v>32</v>
      </c>
      <c r="B75" s="3" t="s">
        <v>84</v>
      </c>
      <c r="C75" s="302"/>
      <c r="D75" s="183"/>
      <c r="E75" s="300"/>
      <c r="F75" s="16"/>
      <c r="G75" s="190"/>
    </row>
    <row r="76" spans="1:7" x14ac:dyDescent="0.25">
      <c r="A76" s="139">
        <f>A75+1</f>
        <v>33</v>
      </c>
      <c r="B76" s="110" t="s">
        <v>9</v>
      </c>
      <c r="C76" s="146"/>
      <c r="D76" s="149"/>
      <c r="E76" s="111"/>
      <c r="F76" s="112">
        <f>SUM(F67:F75)</f>
        <v>-732553.77882250224</v>
      </c>
      <c r="G76" s="190"/>
    </row>
    <row r="77" spans="1:7" ht="24.75" customHeight="1" x14ac:dyDescent="0.25">
      <c r="A77" s="193">
        <f>A76+1</f>
        <v>34</v>
      </c>
      <c r="B77" s="194" t="s">
        <v>89</v>
      </c>
      <c r="C77" s="200"/>
      <c r="D77" s="204"/>
      <c r="E77" s="195"/>
      <c r="F77" s="205">
        <f>SUM(F54,F65,F76)</f>
        <v>68028303.051238105</v>
      </c>
      <c r="G77" s="190"/>
    </row>
    <row r="78" spans="1:7" x14ac:dyDescent="0.25">
      <c r="G78" s="190"/>
    </row>
    <row r="79" spans="1:7" x14ac:dyDescent="0.25">
      <c r="G79" s="190"/>
    </row>
    <row r="80" spans="1:7" x14ac:dyDescent="0.25">
      <c r="G80" s="190"/>
    </row>
    <row r="81" spans="7:7" x14ac:dyDescent="0.25">
      <c r="G81" s="190"/>
    </row>
  </sheetData>
  <pageMargins left="0.7" right="0.7" top="0.75" bottom="0.75" header="0.3" footer="0.3"/>
  <pageSetup scale="4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L79"/>
  <sheetViews>
    <sheetView showGridLines="0" zoomScaleNormal="100" workbookViewId="0">
      <pane xSplit="2" ySplit="5" topLeftCell="C69" activePane="bottomRight" state="frozen"/>
      <selection pane="topRight" activeCell="C1" sqref="C1"/>
      <selection pane="bottomLeft" activeCell="A6" sqref="A6"/>
      <selection pane="bottomRight" activeCell="G78" sqref="G78"/>
    </sheetView>
  </sheetViews>
  <sheetFormatPr defaultRowHeight="15" x14ac:dyDescent="0.25"/>
  <cols>
    <col min="1" max="2" width="13.7109375" customWidth="1"/>
    <col min="3" max="5" width="13.7109375" style="1" customWidth="1"/>
    <col min="7" max="7" width="13.28515625" bestFit="1" customWidth="1"/>
  </cols>
  <sheetData>
    <row r="1" spans="1:8" ht="18.75" x14ac:dyDescent="0.3">
      <c r="A1" s="24" t="s">
        <v>0</v>
      </c>
      <c r="B1" s="24"/>
      <c r="C1" s="57"/>
      <c r="D1" s="56"/>
      <c r="E1" s="56"/>
    </row>
    <row r="2" spans="1:8" ht="18.75" x14ac:dyDescent="0.3">
      <c r="A2" s="24" t="s">
        <v>1</v>
      </c>
      <c r="B2" s="24"/>
      <c r="C2" s="57"/>
      <c r="D2" s="56"/>
      <c r="E2" s="56"/>
    </row>
    <row r="3" spans="1:8" ht="19.5" thickBot="1" x14ac:dyDescent="0.35">
      <c r="A3" s="26" t="s">
        <v>42</v>
      </c>
      <c r="B3" s="26"/>
      <c r="C3" s="58"/>
      <c r="D3" s="59"/>
      <c r="E3" s="59"/>
    </row>
    <row r="5" spans="1:8" ht="15.75" x14ac:dyDescent="0.25">
      <c r="A5" s="65" t="s">
        <v>10</v>
      </c>
      <c r="B5" s="65" t="s">
        <v>13</v>
      </c>
      <c r="C5" s="66" t="s">
        <v>62</v>
      </c>
      <c r="D5" s="66" t="s">
        <v>63</v>
      </c>
      <c r="E5" s="66" t="s">
        <v>9</v>
      </c>
    </row>
    <row r="6" spans="1:8" x14ac:dyDescent="0.25">
      <c r="A6" s="3">
        <v>2012</v>
      </c>
      <c r="B6" s="3" t="s">
        <v>44</v>
      </c>
      <c r="C6" s="5"/>
      <c r="D6" s="5"/>
      <c r="E6" s="5"/>
      <c r="G6">
        <v>518.64</v>
      </c>
      <c r="H6">
        <v>2104.15</v>
      </c>
    </row>
    <row r="7" spans="1:8" x14ac:dyDescent="0.25">
      <c r="A7" s="3">
        <v>2012</v>
      </c>
      <c r="B7" s="3" t="s">
        <v>45</v>
      </c>
      <c r="C7" s="5"/>
      <c r="D7" s="5"/>
      <c r="E7" s="5"/>
      <c r="G7">
        <v>496.98</v>
      </c>
      <c r="H7">
        <v>2061.9699999999998</v>
      </c>
    </row>
    <row r="8" spans="1:8" x14ac:dyDescent="0.25">
      <c r="A8" s="3">
        <v>2012</v>
      </c>
      <c r="B8" s="3" t="s">
        <v>46</v>
      </c>
      <c r="C8" s="5"/>
      <c r="D8" s="5"/>
      <c r="E8" s="5"/>
      <c r="G8">
        <v>519.04</v>
      </c>
      <c r="H8">
        <v>2433.21</v>
      </c>
    </row>
    <row r="9" spans="1:8" x14ac:dyDescent="0.25">
      <c r="A9" s="3">
        <v>2012</v>
      </c>
      <c r="B9" s="3" t="s">
        <v>47</v>
      </c>
      <c r="C9" s="5"/>
      <c r="D9" s="5"/>
      <c r="E9" s="5"/>
      <c r="G9">
        <v>527.66</v>
      </c>
      <c r="H9">
        <v>2221.08</v>
      </c>
    </row>
    <row r="10" spans="1:8" x14ac:dyDescent="0.25">
      <c r="A10" s="3">
        <v>2012</v>
      </c>
      <c r="B10" s="3" t="s">
        <v>56</v>
      </c>
      <c r="C10" s="5"/>
      <c r="D10" s="5"/>
      <c r="E10" s="5"/>
      <c r="G10">
        <v>553.79</v>
      </c>
      <c r="H10">
        <v>2203.9299999999998</v>
      </c>
    </row>
    <row r="11" spans="1:8" x14ac:dyDescent="0.25">
      <c r="A11" s="3">
        <v>2012</v>
      </c>
      <c r="B11" s="3" t="s">
        <v>49</v>
      </c>
      <c r="C11" s="5"/>
      <c r="D11" s="5"/>
      <c r="E11" s="5"/>
      <c r="G11">
        <v>619.23</v>
      </c>
      <c r="H11">
        <v>1740.81</v>
      </c>
    </row>
    <row r="12" spans="1:8" x14ac:dyDescent="0.25">
      <c r="A12" s="3">
        <v>2012</v>
      </c>
      <c r="B12" s="3" t="s">
        <v>50</v>
      </c>
      <c r="C12" s="5">
        <v>74737.39</v>
      </c>
      <c r="D12" s="5"/>
      <c r="E12" s="5">
        <f t="shared" ref="E12:E41" si="0">SUM(C12:D12)</f>
        <v>74737.39</v>
      </c>
      <c r="G12">
        <v>688.25</v>
      </c>
      <c r="H12">
        <v>1529.86</v>
      </c>
    </row>
    <row r="13" spans="1:8" x14ac:dyDescent="0.25">
      <c r="A13" s="3">
        <v>2012</v>
      </c>
      <c r="B13" s="3" t="s">
        <v>51</v>
      </c>
      <c r="C13" s="5">
        <v>357467.14</v>
      </c>
      <c r="D13" s="5"/>
      <c r="E13" s="5">
        <f t="shared" si="0"/>
        <v>357467.14</v>
      </c>
      <c r="G13">
        <v>706.44</v>
      </c>
      <c r="H13">
        <v>2462.25</v>
      </c>
    </row>
    <row r="14" spans="1:8" x14ac:dyDescent="0.25">
      <c r="A14" s="3">
        <v>2012</v>
      </c>
      <c r="B14" s="3" t="s">
        <v>52</v>
      </c>
      <c r="C14" s="5">
        <v>403916.21</v>
      </c>
      <c r="D14" s="5"/>
      <c r="E14" s="5">
        <f t="shared" si="0"/>
        <v>403916.21</v>
      </c>
      <c r="G14">
        <v>699.9</v>
      </c>
    </row>
    <row r="15" spans="1:8" x14ac:dyDescent="0.25">
      <c r="A15" s="3">
        <v>2012</v>
      </c>
      <c r="B15" s="3" t="s">
        <v>53</v>
      </c>
      <c r="C15" s="5">
        <v>360856.57</v>
      </c>
      <c r="D15" s="5"/>
      <c r="E15" s="5">
        <f t="shared" si="0"/>
        <v>360856.57</v>
      </c>
      <c r="G15">
        <v>713.29</v>
      </c>
    </row>
    <row r="16" spans="1:8" x14ac:dyDescent="0.25">
      <c r="A16" s="3">
        <v>2012</v>
      </c>
      <c r="B16" s="3" t="s">
        <v>54</v>
      </c>
      <c r="C16" s="5">
        <v>345522.85</v>
      </c>
      <c r="D16" s="5"/>
      <c r="E16" s="5">
        <f t="shared" si="0"/>
        <v>345522.85</v>
      </c>
      <c r="G16">
        <v>683.63</v>
      </c>
    </row>
    <row r="17" spans="1:7" x14ac:dyDescent="0.25">
      <c r="A17" s="3">
        <v>2012</v>
      </c>
      <c r="B17" s="3" t="s">
        <v>55</v>
      </c>
      <c r="C17" s="5">
        <v>319828.12</v>
      </c>
      <c r="D17" s="5"/>
      <c r="E17" s="5">
        <f t="shared" si="0"/>
        <v>319828.12</v>
      </c>
      <c r="G17">
        <v>613.13</v>
      </c>
    </row>
    <row r="18" spans="1:7" x14ac:dyDescent="0.25">
      <c r="A18" s="3">
        <v>2013</v>
      </c>
      <c r="B18" s="3" t="s">
        <v>44</v>
      </c>
      <c r="C18" s="5">
        <v>342215.98</v>
      </c>
      <c r="D18" s="5"/>
      <c r="E18" s="5">
        <f t="shared" si="0"/>
        <v>342215.98</v>
      </c>
      <c r="G18">
        <v>512.32000000000005</v>
      </c>
    </row>
    <row r="19" spans="1:7" x14ac:dyDescent="0.25">
      <c r="A19" s="3">
        <v>2013</v>
      </c>
      <c r="B19" s="3" t="s">
        <v>45</v>
      </c>
      <c r="C19" s="5">
        <v>327976.34000000003</v>
      </c>
      <c r="D19" s="5"/>
      <c r="E19" s="5">
        <f t="shared" si="0"/>
        <v>327976.34000000003</v>
      </c>
      <c r="G19">
        <v>504.38</v>
      </c>
    </row>
    <row r="20" spans="1:7" x14ac:dyDescent="0.25">
      <c r="A20" s="3">
        <v>2013</v>
      </c>
      <c r="B20" s="3" t="s">
        <v>46</v>
      </c>
      <c r="C20" s="5">
        <v>285028.32</v>
      </c>
      <c r="D20" s="5"/>
      <c r="E20" s="5">
        <f t="shared" si="0"/>
        <v>285028.32</v>
      </c>
      <c r="G20">
        <v>518.77</v>
      </c>
    </row>
    <row r="21" spans="1:7" x14ac:dyDescent="0.25">
      <c r="A21" s="3">
        <v>2013</v>
      </c>
      <c r="B21" s="3" t="s">
        <v>47</v>
      </c>
      <c r="C21" s="5">
        <v>315529.03000000003</v>
      </c>
      <c r="D21" s="5"/>
      <c r="E21" s="5">
        <f t="shared" si="0"/>
        <v>315529.03000000003</v>
      </c>
      <c r="G21">
        <v>534.20000000000005</v>
      </c>
    </row>
    <row r="22" spans="1:7" x14ac:dyDescent="0.25">
      <c r="A22" s="3">
        <v>2013</v>
      </c>
      <c r="B22" s="3" t="s">
        <v>56</v>
      </c>
      <c r="C22" s="5">
        <v>318430.2</v>
      </c>
      <c r="D22" s="5"/>
      <c r="E22" s="5">
        <f t="shared" si="0"/>
        <v>318430.2</v>
      </c>
      <c r="G22">
        <v>547.87</v>
      </c>
    </row>
    <row r="23" spans="1:7" x14ac:dyDescent="0.25">
      <c r="A23" s="3">
        <v>2013</v>
      </c>
      <c r="B23" s="3" t="s">
        <v>49</v>
      </c>
      <c r="C23" s="5">
        <v>370097.98</v>
      </c>
      <c r="D23" s="5"/>
      <c r="E23" s="5">
        <f t="shared" si="0"/>
        <v>370097.98</v>
      </c>
      <c r="G23">
        <v>666.32</v>
      </c>
    </row>
    <row r="24" spans="1:7" x14ac:dyDescent="0.25">
      <c r="A24" s="3">
        <v>2013</v>
      </c>
      <c r="B24" s="3" t="s">
        <v>50</v>
      </c>
      <c r="C24" s="5">
        <v>390317.12</v>
      </c>
      <c r="D24" s="5"/>
      <c r="E24" s="5">
        <f t="shared" si="0"/>
        <v>390317.12</v>
      </c>
      <c r="G24">
        <v>764.12</v>
      </c>
    </row>
    <row r="25" spans="1:7" x14ac:dyDescent="0.25">
      <c r="A25" s="3">
        <v>2013</v>
      </c>
      <c r="B25" s="3" t="s">
        <v>51</v>
      </c>
      <c r="C25" s="5">
        <v>422035.93</v>
      </c>
      <c r="D25" s="5"/>
      <c r="E25" s="5">
        <f t="shared" si="0"/>
        <v>422035.93</v>
      </c>
      <c r="G25">
        <v>733.9</v>
      </c>
    </row>
    <row r="26" spans="1:7" x14ac:dyDescent="0.25">
      <c r="A26" s="3">
        <v>2013</v>
      </c>
      <c r="B26" s="3" t="s">
        <v>52</v>
      </c>
      <c r="C26" s="5">
        <v>402643.29</v>
      </c>
      <c r="D26" s="5"/>
      <c r="E26" s="5">
        <f t="shared" si="0"/>
        <v>402643.29</v>
      </c>
      <c r="G26">
        <v>769.94</v>
      </c>
    </row>
    <row r="27" spans="1:7" x14ac:dyDescent="0.25">
      <c r="A27" s="3">
        <v>2013</v>
      </c>
      <c r="B27" s="3" t="s">
        <v>53</v>
      </c>
      <c r="C27" s="5">
        <v>361475.37</v>
      </c>
      <c r="D27" s="5"/>
      <c r="E27" s="5">
        <f t="shared" si="0"/>
        <v>361475.37</v>
      </c>
      <c r="G27">
        <v>770.96</v>
      </c>
    </row>
    <row r="28" spans="1:7" x14ac:dyDescent="0.25">
      <c r="A28" s="3">
        <v>2013</v>
      </c>
      <c r="B28" s="3" t="s">
        <v>54</v>
      </c>
      <c r="C28" s="5">
        <v>348244.32</v>
      </c>
      <c r="D28" s="5"/>
      <c r="E28" s="5">
        <f t="shared" si="0"/>
        <v>348244.32</v>
      </c>
      <c r="G28">
        <v>736.76</v>
      </c>
    </row>
    <row r="29" spans="1:7" x14ac:dyDescent="0.25">
      <c r="A29" s="3">
        <v>2013</v>
      </c>
      <c r="B29" s="3" t="s">
        <v>55</v>
      </c>
      <c r="C29" s="5">
        <v>316294.63</v>
      </c>
      <c r="D29" s="5"/>
      <c r="E29" s="5">
        <f t="shared" si="0"/>
        <v>316294.63</v>
      </c>
      <c r="G29">
        <v>660.06</v>
      </c>
    </row>
    <row r="30" spans="1:7" x14ac:dyDescent="0.25">
      <c r="A30" s="3">
        <v>2014</v>
      </c>
      <c r="B30" s="3" t="s">
        <v>44</v>
      </c>
      <c r="C30" s="5">
        <v>338538.32</v>
      </c>
      <c r="D30" s="5"/>
      <c r="E30" s="5">
        <f t="shared" si="0"/>
        <v>338538.32</v>
      </c>
      <c r="G30">
        <v>531.9</v>
      </c>
    </row>
    <row r="31" spans="1:7" x14ac:dyDescent="0.25">
      <c r="A31" s="3">
        <v>2014</v>
      </c>
      <c r="B31" s="3" t="s">
        <v>45</v>
      </c>
      <c r="C31" s="5">
        <v>324111.21000000002</v>
      </c>
      <c r="D31" s="5"/>
      <c r="E31" s="5">
        <f t="shared" si="0"/>
        <v>324111.21000000002</v>
      </c>
      <c r="G31">
        <v>515.74</v>
      </c>
    </row>
    <row r="32" spans="1:7" x14ac:dyDescent="0.25">
      <c r="A32" s="3">
        <v>2014</v>
      </c>
      <c r="B32" s="3" t="s">
        <v>46</v>
      </c>
      <c r="C32" s="5">
        <v>284822.09999999998</v>
      </c>
      <c r="D32" s="5"/>
      <c r="E32" s="5">
        <f t="shared" si="0"/>
        <v>284822.09999999998</v>
      </c>
      <c r="G32">
        <v>543.85</v>
      </c>
    </row>
    <row r="33" spans="1:12" x14ac:dyDescent="0.25">
      <c r="A33" s="3">
        <v>2014</v>
      </c>
      <c r="B33" s="3" t="s">
        <v>47</v>
      </c>
      <c r="C33" s="5">
        <v>315535.26</v>
      </c>
      <c r="D33" s="5"/>
      <c r="E33" s="5">
        <f t="shared" si="0"/>
        <v>315535.26</v>
      </c>
      <c r="G33">
        <v>557.83000000000004</v>
      </c>
    </row>
    <row r="34" spans="1:12" x14ac:dyDescent="0.25">
      <c r="A34" s="3">
        <v>2014</v>
      </c>
      <c r="B34" s="3" t="s">
        <v>56</v>
      </c>
      <c r="C34" s="5">
        <v>317535.92</v>
      </c>
      <c r="D34" s="5"/>
      <c r="E34" s="5">
        <f t="shared" si="0"/>
        <v>317535.92</v>
      </c>
      <c r="G34">
        <v>559.02</v>
      </c>
    </row>
    <row r="35" spans="1:12" x14ac:dyDescent="0.25">
      <c r="A35" s="3">
        <v>2014</v>
      </c>
      <c r="B35" s="3" t="s">
        <v>49</v>
      </c>
      <c r="C35" s="5">
        <v>354601.21</v>
      </c>
      <c r="D35" s="5"/>
      <c r="E35" s="5">
        <f t="shared" si="0"/>
        <v>354601.21</v>
      </c>
      <c r="G35">
        <v>638.95000000000005</v>
      </c>
    </row>
    <row r="36" spans="1:12" x14ac:dyDescent="0.25">
      <c r="A36" s="3">
        <v>2014</v>
      </c>
      <c r="B36" s="3" t="s">
        <v>50</v>
      </c>
      <c r="C36" s="5">
        <v>381552.06</v>
      </c>
      <c r="D36" s="5"/>
      <c r="E36" s="5">
        <f t="shared" si="0"/>
        <v>381552.06</v>
      </c>
      <c r="G36">
        <v>698.95</v>
      </c>
    </row>
    <row r="37" spans="1:12" x14ac:dyDescent="0.25">
      <c r="A37" s="3">
        <v>2014</v>
      </c>
      <c r="B37" s="3" t="s">
        <v>51</v>
      </c>
      <c r="C37" s="5">
        <v>387954.8</v>
      </c>
      <c r="D37" s="5"/>
      <c r="E37" s="5">
        <f t="shared" si="0"/>
        <v>387954.8</v>
      </c>
      <c r="G37">
        <v>759.43</v>
      </c>
    </row>
    <row r="38" spans="1:12" x14ac:dyDescent="0.25">
      <c r="A38" s="3">
        <v>2014</v>
      </c>
      <c r="B38" s="3" t="s">
        <v>52</v>
      </c>
      <c r="C38" s="5">
        <v>396158.93</v>
      </c>
      <c r="D38" s="5">
        <v>454713.28</v>
      </c>
      <c r="E38" s="5">
        <f t="shared" si="0"/>
        <v>850872.21</v>
      </c>
      <c r="G38">
        <v>757.92</v>
      </c>
    </row>
    <row r="39" spans="1:12" x14ac:dyDescent="0.25">
      <c r="A39" s="3">
        <v>2014</v>
      </c>
      <c r="B39" s="3" t="s">
        <v>53</v>
      </c>
      <c r="C39" s="5">
        <v>358649.47</v>
      </c>
      <c r="D39" s="5">
        <v>404007.62</v>
      </c>
      <c r="E39" s="5">
        <f t="shared" si="0"/>
        <v>762657.09</v>
      </c>
      <c r="G39">
        <v>783.36</v>
      </c>
    </row>
    <row r="40" spans="1:12" x14ac:dyDescent="0.25">
      <c r="A40" s="3">
        <v>2014</v>
      </c>
      <c r="B40" s="3" t="s">
        <v>54</v>
      </c>
      <c r="C40" s="5">
        <v>341589.21</v>
      </c>
      <c r="D40" s="5">
        <v>366238.71999999997</v>
      </c>
      <c r="E40" s="5">
        <f t="shared" si="0"/>
        <v>707827.92999999993</v>
      </c>
    </row>
    <row r="41" spans="1:12" x14ac:dyDescent="0.25">
      <c r="A41" s="3">
        <v>2014</v>
      </c>
      <c r="B41" s="3" t="s">
        <v>55</v>
      </c>
      <c r="C41" s="5">
        <v>281523.98</v>
      </c>
      <c r="D41" s="5">
        <v>522494.43</v>
      </c>
      <c r="E41" s="5">
        <f t="shared" si="0"/>
        <v>804018.40999999992</v>
      </c>
    </row>
    <row r="42" spans="1:12" x14ac:dyDescent="0.25">
      <c r="A42" s="3">
        <v>2015</v>
      </c>
      <c r="B42" s="3" t="s">
        <v>44</v>
      </c>
      <c r="C42" s="5">
        <f>(SUM(C$30:C$41)*'Rate Class Energy Model'!$D$25)*C30/(SUM(C$30:C$41))</f>
        <v>335095.37578963314</v>
      </c>
      <c r="D42" s="5">
        <v>549982.03</v>
      </c>
      <c r="E42" s="5">
        <f t="shared" ref="E42:E65" si="1">SUM(C42:D42)</f>
        <v>885077.40578963317</v>
      </c>
      <c r="K42" s="1">
        <v>333660.86</v>
      </c>
      <c r="L42" s="1">
        <v>549982.03</v>
      </c>
    </row>
    <row r="43" spans="1:12" x14ac:dyDescent="0.25">
      <c r="A43" s="3">
        <v>2015</v>
      </c>
      <c r="B43" s="3" t="s">
        <v>45</v>
      </c>
      <c r="C43" s="5">
        <f>(SUM(C$30:C$41)*'Rate Class Energy Model'!$D$25)*C31/(SUM(C$30:C$41))</f>
        <v>320814.98990301217</v>
      </c>
      <c r="D43" s="5">
        <v>557403.30000000005</v>
      </c>
      <c r="E43" s="5">
        <f t="shared" si="1"/>
        <v>878218.28990301222</v>
      </c>
      <c r="K43" s="1">
        <v>319169.96999999997</v>
      </c>
      <c r="L43" s="1">
        <v>557403.30000000005</v>
      </c>
    </row>
    <row r="44" spans="1:12" x14ac:dyDescent="0.25">
      <c r="A44" s="3">
        <v>2015</v>
      </c>
      <c r="B44" s="3" t="s">
        <v>46</v>
      </c>
      <c r="C44" s="5">
        <f>(SUM(C$30:C$41)*'Rate Class Energy Model'!$D$25)*C32/(SUM(C$30:C$41))</f>
        <v>281925.45125376782</v>
      </c>
      <c r="D44" s="5">
        <v>327524.89</v>
      </c>
      <c r="E44" s="5">
        <f t="shared" si="1"/>
        <v>609450.34125376784</v>
      </c>
      <c r="G44" s="68">
        <f>SUM(D38:D41)</f>
        <v>1747454.05</v>
      </c>
      <c r="K44" s="1">
        <v>285079.36</v>
      </c>
      <c r="L44" s="1">
        <v>327524.89</v>
      </c>
    </row>
    <row r="45" spans="1:12" x14ac:dyDescent="0.25">
      <c r="A45" s="3">
        <v>2015</v>
      </c>
      <c r="B45" s="3" t="s">
        <v>47</v>
      </c>
      <c r="C45" s="5">
        <f>(SUM(C$30:C$41)*'Rate Class Energy Model'!$D$25)*C33/(SUM(C$30:C$41))</f>
        <v>312326.25755506667</v>
      </c>
      <c r="D45" s="5">
        <v>319225.11</v>
      </c>
      <c r="E45" s="5">
        <f t="shared" si="1"/>
        <v>631551.36755506671</v>
      </c>
      <c r="K45" s="1">
        <v>320064.61</v>
      </c>
      <c r="L45" s="1">
        <v>319225.11</v>
      </c>
    </row>
    <row r="46" spans="1:12" x14ac:dyDescent="0.25">
      <c r="A46" s="3">
        <v>2015</v>
      </c>
      <c r="B46" s="3" t="s">
        <v>48</v>
      </c>
      <c r="C46" s="5">
        <f>(SUM(C$30:C$41)*'Rate Class Energy Model'!$D$25)*C34/(SUM(C$30:C$41))</f>
        <v>314306.57078674837</v>
      </c>
      <c r="D46" s="63">
        <f>D45</f>
        <v>319225.11</v>
      </c>
      <c r="E46" s="5">
        <f t="shared" si="1"/>
        <v>633531.68078674842</v>
      </c>
    </row>
    <row r="47" spans="1:12" x14ac:dyDescent="0.25">
      <c r="A47" s="3">
        <v>2015</v>
      </c>
      <c r="B47" s="3" t="s">
        <v>49</v>
      </c>
      <c r="C47" s="5">
        <f>(SUM(C$30:C$41)*'Rate Class Energy Model'!$D$25)*C35/(SUM(C$30:C$41))</f>
        <v>350994.90574777062</v>
      </c>
      <c r="D47" s="63">
        <f>D39</f>
        <v>404007.62</v>
      </c>
      <c r="E47" s="5">
        <f t="shared" si="1"/>
        <v>755002.52574777068</v>
      </c>
    </row>
    <row r="48" spans="1:12" x14ac:dyDescent="0.25">
      <c r="A48" s="3">
        <v>2015</v>
      </c>
      <c r="B48" s="3" t="s">
        <v>50</v>
      </c>
      <c r="C48" s="5">
        <f>(SUM(C$30:C$41)*'Rate Class Energy Model'!$D$25)*C36/(SUM(C$30:C$41))</f>
        <v>377671.66484730184</v>
      </c>
      <c r="D48" s="63">
        <f>D40</f>
        <v>366238.71999999997</v>
      </c>
      <c r="E48" s="5">
        <f t="shared" si="1"/>
        <v>743910.38484730176</v>
      </c>
    </row>
    <row r="49" spans="1:5" x14ac:dyDescent="0.25">
      <c r="A49" s="3">
        <v>2015</v>
      </c>
      <c r="B49" s="3" t="s">
        <v>51</v>
      </c>
      <c r="C49" s="5">
        <f>(SUM(C$30:C$41)*'Rate Class Energy Model'!$D$25)*C37/(SUM(C$30:C$41))</f>
        <v>384009.28880190558</v>
      </c>
      <c r="D49" s="63">
        <f>D38</f>
        <v>454713.28</v>
      </c>
      <c r="E49" s="5">
        <f t="shared" si="1"/>
        <v>838722.56880190561</v>
      </c>
    </row>
    <row r="50" spans="1:5" x14ac:dyDescent="0.25">
      <c r="A50" s="3">
        <v>2015</v>
      </c>
      <c r="B50" s="3" t="s">
        <v>52</v>
      </c>
      <c r="C50" s="5">
        <f>(SUM(C$30:C$41)*'Rate Class Energy Model'!$D$25)*C38/(SUM(C$30:C$41))</f>
        <v>392129.98256968055</v>
      </c>
      <c r="D50" s="5">
        <f>(SUM(D$38:D$49)*'Rate Class Energy Model'!$D$25)*D38/(SUM(D$38:D$49))</f>
        <v>450088.83318773686</v>
      </c>
      <c r="E50" s="5">
        <f t="shared" si="1"/>
        <v>842218.81575741735</v>
      </c>
    </row>
    <row r="51" spans="1:5" x14ac:dyDescent="0.25">
      <c r="A51" s="3">
        <v>2015</v>
      </c>
      <c r="B51" s="3" t="s">
        <v>53</v>
      </c>
      <c r="C51" s="5">
        <f>(SUM(C$30:C$41)*'Rate Class Energy Model'!$D$25)*C39/(SUM(C$30:C$41))</f>
        <v>355001.99483001727</v>
      </c>
      <c r="D51" s="5">
        <f>(SUM(D$38:D$49)*'Rate Class Energy Model'!$D$25)*D39/(SUM(D$38:D$49))</f>
        <v>399898.85117222567</v>
      </c>
      <c r="E51" s="5">
        <f t="shared" si="1"/>
        <v>754900.84600224299</v>
      </c>
    </row>
    <row r="52" spans="1:5" x14ac:dyDescent="0.25">
      <c r="A52" s="3">
        <v>2015</v>
      </c>
      <c r="B52" s="3" t="s">
        <v>54</v>
      </c>
      <c r="C52" s="5">
        <f>(SUM(C$30:C$41)*'Rate Class Energy Model'!$D$25)*C40/(SUM(C$30:C$41))</f>
        <v>338115.23815275595</v>
      </c>
      <c r="D52" s="5">
        <f>(SUM(D$38:D$49)*'Rate Class Energy Model'!$D$25)*D40/(SUM(D$38:D$49))</f>
        <v>362514.06194463954</v>
      </c>
      <c r="E52" s="5">
        <f t="shared" si="1"/>
        <v>700629.30009739543</v>
      </c>
    </row>
    <row r="53" spans="1:5" x14ac:dyDescent="0.25">
      <c r="A53" s="3">
        <v>2015</v>
      </c>
      <c r="B53" s="3" t="s">
        <v>55</v>
      </c>
      <c r="C53" s="5">
        <f>(SUM(C$30:C$41)*'Rate Class Energy Model'!$D$25)*C41/(SUM(C$30:C$41))</f>
        <v>278660.87322667975</v>
      </c>
      <c r="D53" s="5">
        <f>(SUM(D$38:D$49)*'Rate Class Energy Model'!$D$25)*D41/(SUM(D$38:D$49))</f>
        <v>517180.64699098218</v>
      </c>
      <c r="E53" s="5">
        <f t="shared" si="1"/>
        <v>795841.52021766198</v>
      </c>
    </row>
    <row r="54" spans="1:5" x14ac:dyDescent="0.25">
      <c r="A54" s="3">
        <v>2016</v>
      </c>
      <c r="B54" s="3" t="s">
        <v>44</v>
      </c>
      <c r="C54" s="5">
        <f>(SUM(C$42:C$53)*'Rate Class Energy Model'!$D$25)*C42/(SUM(C$42:C$53))</f>
        <v>331687.44641845993</v>
      </c>
      <c r="D54" s="5">
        <f>(SUM(D$38:D$49)*'Rate Class Energy Model'!$D$25)*D42/(SUM(D$38:D$49))</f>
        <v>544388.69732795772</v>
      </c>
      <c r="E54" s="5">
        <f t="shared" si="1"/>
        <v>876076.14374641771</v>
      </c>
    </row>
    <row r="55" spans="1:5" x14ac:dyDescent="0.25">
      <c r="A55" s="3">
        <v>2016</v>
      </c>
      <c r="B55" s="3" t="s">
        <v>45</v>
      </c>
      <c r="C55" s="5">
        <f>(SUM(C$42:C$53)*'Rate Class Energy Model'!$D$25)*C43/(SUM(C$42:C$53))</f>
        <v>317552.29245686933</v>
      </c>
      <c r="D55" s="5">
        <f>(SUM(D$38:D$49)*'Rate Class Energy Model'!$D$25)*D43/(SUM(D$38:D$49))</f>
        <v>551734.49280389189</v>
      </c>
      <c r="E55" s="5">
        <f t="shared" si="1"/>
        <v>869286.78526076116</v>
      </c>
    </row>
    <row r="56" spans="1:5" x14ac:dyDescent="0.25">
      <c r="A56" s="3">
        <v>2016</v>
      </c>
      <c r="B56" s="3" t="s">
        <v>46</v>
      </c>
      <c r="C56" s="5">
        <f>(SUM(C$42:C$53)*'Rate Class Energy Model'!$D$25)*C44/(SUM(C$42:C$53))</f>
        <v>279058.26150653552</v>
      </c>
      <c r="D56" s="5">
        <f>(SUM(D$38:D$49)*'Rate Class Energy Model'!$D$25)*D44/(SUM(D$38:D$49))</f>
        <v>324193.95268165879</v>
      </c>
      <c r="E56" s="5">
        <f t="shared" si="1"/>
        <v>603252.21418819437</v>
      </c>
    </row>
    <row r="57" spans="1:5" x14ac:dyDescent="0.25">
      <c r="A57" s="3">
        <v>2016</v>
      </c>
      <c r="B57" s="3" t="s">
        <v>47</v>
      </c>
      <c r="C57" s="5">
        <f>(SUM(C$42:C$53)*'Rate Class Energy Model'!$D$25)*C45/(SUM(C$42:C$53))</f>
        <v>309149.89075501054</v>
      </c>
      <c r="D57" s="5">
        <f>(SUM(D$38:D$49)*'Rate Class Energy Model'!$D$25)*D45/(SUM(D$38:D$49))</f>
        <v>315978.58167706674</v>
      </c>
      <c r="E57" s="5">
        <f t="shared" si="1"/>
        <v>625128.47243207728</v>
      </c>
    </row>
    <row r="58" spans="1:5" x14ac:dyDescent="0.25">
      <c r="A58" s="3">
        <v>2016</v>
      </c>
      <c r="B58" s="3" t="s">
        <v>48</v>
      </c>
      <c r="C58" s="5">
        <f>(SUM(C$42:C$53)*'Rate Class Energy Model'!$D$25)*C46/(SUM(C$42:C$53))</f>
        <v>311110.06414557842</v>
      </c>
      <c r="D58" s="5">
        <f>(SUM(D$38:D$49)*'Rate Class Energy Model'!$D$25)*D46/(SUM(D$38:D$49))</f>
        <v>315978.58167706674</v>
      </c>
      <c r="E58" s="5">
        <f t="shared" si="1"/>
        <v>627088.64582264517</v>
      </c>
    </row>
    <row r="59" spans="1:5" x14ac:dyDescent="0.25">
      <c r="A59" s="3">
        <v>2016</v>
      </c>
      <c r="B59" s="3" t="s">
        <v>49</v>
      </c>
      <c r="C59" s="5">
        <f>(SUM(C$42:C$53)*'Rate Class Energy Model'!$D$25)*C47/(SUM(C$42:C$53))</f>
        <v>347425.27771094284</v>
      </c>
      <c r="D59" s="5">
        <f>(SUM(D$38:D$49)*'Rate Class Energy Model'!$D$25)*D47/(SUM(D$38:D$49))</f>
        <v>399898.85117222567</v>
      </c>
      <c r="E59" s="5">
        <f t="shared" si="1"/>
        <v>747324.12888316857</v>
      </c>
    </row>
    <row r="60" spans="1:5" x14ac:dyDescent="0.25">
      <c r="A60" s="3">
        <v>2016</v>
      </c>
      <c r="B60" s="3" t="s">
        <v>50</v>
      </c>
      <c r="C60" s="5">
        <f>(SUM(C$42:C$53)*'Rate Class Energy Model'!$D$25)*C48/(SUM(C$42:C$53))</f>
        <v>373830.7334221513</v>
      </c>
      <c r="D60" s="64">
        <f>(SUM(D$38:D$49)*'Rate Class Energy Model'!$D$25)*D48/(SUM(D$38:D$49))</f>
        <v>362514.06194463954</v>
      </c>
      <c r="E60" s="5">
        <f t="shared" si="1"/>
        <v>736344.79536679084</v>
      </c>
    </row>
    <row r="61" spans="1:5" x14ac:dyDescent="0.25">
      <c r="A61" s="3">
        <v>2016</v>
      </c>
      <c r="B61" s="3" t="s">
        <v>51</v>
      </c>
      <c r="C61" s="5">
        <f>(SUM(C$42:C$53)*'Rate Class Energy Model'!$D$25)*C49/(SUM(C$42:C$53))</f>
        <v>380103.90356336703</v>
      </c>
      <c r="D61" s="64">
        <f>(SUM(D$49:D$60)*'Rate Class Energy Model'!$D$25)*D49/(SUM(D$49:D$60))</f>
        <v>450088.8331877368</v>
      </c>
      <c r="E61" s="5">
        <f t="shared" si="1"/>
        <v>830192.73675110377</v>
      </c>
    </row>
    <row r="62" spans="1:5" x14ac:dyDescent="0.25">
      <c r="A62" s="3">
        <v>2016</v>
      </c>
      <c r="B62" s="3" t="s">
        <v>52</v>
      </c>
      <c r="C62" s="5">
        <f>(SUM(C$42:C$53)*'Rate Class Energy Model'!$D$25)*C50/(SUM(C$42:C$53))</f>
        <v>388142.00964773906</v>
      </c>
      <c r="D62" s="64">
        <f>(SUM(D$49:D$60)*'Rate Class Energy Model'!$D$25)*D50/(SUM(D$49:D$60))</f>
        <v>445511.41712926957</v>
      </c>
      <c r="E62" s="5">
        <f t="shared" si="1"/>
        <v>833653.42677700869</v>
      </c>
    </row>
    <row r="63" spans="1:5" x14ac:dyDescent="0.25">
      <c r="A63" s="3">
        <v>2016</v>
      </c>
      <c r="B63" s="3" t="s">
        <v>53</v>
      </c>
      <c r="C63" s="5">
        <f>(SUM(C$42:C$53)*'Rate Class Energy Model'!$D$25)*C51/(SUM(C$42:C$53))</f>
        <v>351391.61458482459</v>
      </c>
      <c r="D63" s="64">
        <f>(SUM(D$49:D$60)*'Rate Class Energy Model'!$D$25)*D51/(SUM(D$49:D$60))</f>
        <v>395831.86863868032</v>
      </c>
      <c r="E63" s="5">
        <f t="shared" si="1"/>
        <v>747223.48322350485</v>
      </c>
    </row>
    <row r="64" spans="1:5" x14ac:dyDescent="0.25">
      <c r="A64" s="3">
        <v>2016</v>
      </c>
      <c r="B64" s="3" t="s">
        <v>54</v>
      </c>
      <c r="C64" s="5">
        <f>(SUM(C$42:C$53)*'Rate Class Energy Model'!$D$25)*C52/(SUM(C$42:C$53))</f>
        <v>334676.59669664293</v>
      </c>
      <c r="D64" s="64">
        <f>(SUM(D$49:D$60)*'Rate Class Energy Model'!$D$25)*D52/(SUM(D$49:D$60))</f>
        <v>358827.28376617841</v>
      </c>
      <c r="E64" s="5">
        <f t="shared" si="1"/>
        <v>693503.88046282134</v>
      </c>
    </row>
    <row r="65" spans="1:5" x14ac:dyDescent="0.25">
      <c r="A65" s="3">
        <v>2016</v>
      </c>
      <c r="B65" s="3" t="s">
        <v>55</v>
      </c>
      <c r="C65" s="5">
        <f>(SUM(C$42:C$53)*'Rate Class Energy Model'!$D$25)*C53/(SUM(C$42:C$53))</f>
        <v>275826.8843295541</v>
      </c>
      <c r="D65" s="64">
        <f>(SUM(D$49:D$60)*'Rate Class Energy Model'!$D$25)*D53/(SUM(D$49:D$60))</f>
        <v>511920.90530421707</v>
      </c>
      <c r="E65" s="5">
        <f t="shared" si="1"/>
        <v>787747.78963377117</v>
      </c>
    </row>
    <row r="66" spans="1:5" x14ac:dyDescent="0.25">
      <c r="A66" s="3"/>
      <c r="B66" s="3"/>
      <c r="C66" s="5"/>
      <c r="D66" s="5"/>
      <c r="E66" s="5"/>
    </row>
    <row r="67" spans="1:5" x14ac:dyDescent="0.25">
      <c r="A67" s="3"/>
      <c r="B67" s="3"/>
      <c r="C67" s="5"/>
      <c r="D67" s="5"/>
      <c r="E67" s="5"/>
    </row>
    <row r="68" spans="1:5" x14ac:dyDescent="0.25">
      <c r="A68" s="3">
        <v>2012</v>
      </c>
      <c r="B68" s="3"/>
      <c r="C68" s="5">
        <f>SUMIF($A$6:$A$65,A68,$C$6:$C$65)</f>
        <v>1862328.2800000003</v>
      </c>
      <c r="D68" s="5">
        <f>SUMIF($A$6:$A$65,A68,$D$6:$D$65)</f>
        <v>0</v>
      </c>
      <c r="E68" s="5">
        <f>SUMIF($A$6:$A$65,A68,$E$6:$E$65)</f>
        <v>1862328.2800000003</v>
      </c>
    </row>
    <row r="69" spans="1:5" x14ac:dyDescent="0.25">
      <c r="A69" s="3">
        <v>2013</v>
      </c>
      <c r="B69" s="3"/>
      <c r="C69" s="5">
        <f>SUMIF($A$6:$A$65,A69,$C$6:$C$65)</f>
        <v>4200288.5100000007</v>
      </c>
      <c r="D69" s="5">
        <f>SUMIF($A$6:$A$65,A69,$D$6:$D$65)</f>
        <v>0</v>
      </c>
      <c r="E69" s="5">
        <f>SUMIF($A$6:$A$65,A69,$E$6:$E$65)</f>
        <v>4200288.5100000007</v>
      </c>
    </row>
    <row r="70" spans="1:5" x14ac:dyDescent="0.25">
      <c r="A70" s="3">
        <v>2014</v>
      </c>
      <c r="B70" s="3"/>
      <c r="C70" s="5">
        <f>SUMIF($A$6:$A$65,A70,$C$6:$C$65)</f>
        <v>4082572.47</v>
      </c>
      <c r="D70" s="5">
        <f>SUMIF($A$6:$A$65,A70,$D$6:$D$65)</f>
        <v>1747454.05</v>
      </c>
      <c r="E70" s="5">
        <f>SUMIF($A$6:$A$65,A70,$E$6:$E$65)</f>
        <v>5830026.5199999996</v>
      </c>
    </row>
    <row r="71" spans="1:5" x14ac:dyDescent="0.25">
      <c r="A71" s="3">
        <v>2015</v>
      </c>
      <c r="B71" s="3"/>
      <c r="C71" s="5">
        <f>C70*'Rate Class Energy Model'!D25</f>
        <v>4041052.5934643401</v>
      </c>
      <c r="D71" s="5"/>
      <c r="E71" s="5">
        <f>SUMIF($A$6:$A$65,A71,$E$6:$E$65)</f>
        <v>9069055.0467599239</v>
      </c>
    </row>
    <row r="72" spans="1:5" x14ac:dyDescent="0.25">
      <c r="A72" s="3">
        <v>2016</v>
      </c>
      <c r="B72" s="3"/>
      <c r="C72" s="5">
        <f>C71*'Rate Class Energy Model'!D25</f>
        <v>3999954.9752376759</v>
      </c>
      <c r="D72" s="5"/>
      <c r="E72" s="5">
        <f>SUMIF($A$6:$A$65,A72,$E$6:$E$65)</f>
        <v>8976822.5025482662</v>
      </c>
    </row>
    <row r="74" spans="1:5" x14ac:dyDescent="0.25">
      <c r="A74" s="54" t="s">
        <v>10</v>
      </c>
      <c r="B74" s="55" t="s">
        <v>14</v>
      </c>
      <c r="C74" s="70" t="s">
        <v>30</v>
      </c>
      <c r="D74" s="70" t="s">
        <v>64</v>
      </c>
    </row>
    <row r="75" spans="1:5" x14ac:dyDescent="0.25">
      <c r="A75" s="3">
        <v>2012</v>
      </c>
      <c r="B75" s="5">
        <v>1862328.28</v>
      </c>
      <c r="C75" s="5">
        <v>4197.63</v>
      </c>
      <c r="D75" s="69">
        <f>C75/B75</f>
        <v>2.2539688867313982E-3</v>
      </c>
    </row>
    <row r="76" spans="1:5" x14ac:dyDescent="0.25">
      <c r="A76" s="3">
        <v>2013</v>
      </c>
      <c r="B76" s="5">
        <v>4199611</v>
      </c>
      <c r="C76" s="5">
        <v>9630</v>
      </c>
      <c r="D76" s="69">
        <f>C76/B76</f>
        <v>2.2930695247726516E-3</v>
      </c>
    </row>
    <row r="77" spans="1:5" x14ac:dyDescent="0.25">
      <c r="A77" s="3">
        <v>2014</v>
      </c>
      <c r="B77" s="5">
        <v>6375131</v>
      </c>
      <c r="C77" s="5">
        <v>17662</v>
      </c>
      <c r="D77" s="69">
        <f>C77/B77</f>
        <v>2.7704528738311416E-3</v>
      </c>
    </row>
    <row r="78" spans="1:5" x14ac:dyDescent="0.25">
      <c r="A78" s="3">
        <v>2015</v>
      </c>
      <c r="B78" s="5">
        <f>(B77+(1747454/4*8))*'Rate Class Energy Model'!D25</f>
        <v>9769660.4265163671</v>
      </c>
      <c r="C78" s="5">
        <f>AVERAGE(D75:D77)*B78</f>
        <v>23829.8016772392</v>
      </c>
      <c r="D78" s="5"/>
    </row>
    <row r="79" spans="1:5" x14ac:dyDescent="0.25">
      <c r="A79" s="3">
        <v>2016</v>
      </c>
      <c r="B79" s="5">
        <f>B78*'Rate Class Energy Model'!D25</f>
        <v>9670302.7059406713</v>
      </c>
      <c r="C79" s="5">
        <f>AVERAGE(D75:D77)*B79</f>
        <v>23587.451925758061</v>
      </c>
      <c r="D79" s="5"/>
    </row>
  </sheetData>
  <sortState ref="A6:E45">
    <sortCondition ref="A6:A45"/>
    <sortCondition ref="B6:B45" customList="January,February,March,April,May,June,July,August,September,October,November,December"/>
  </sortState>
  <pageMargins left="0.3" right="0.3" top="0.3" bottom="0.6" header="0.3" footer="0.3"/>
  <pageSetup orientation="portrait" r:id="rId1"/>
  <headerFooter>
    <oddFooter>&amp;L&amp;8&amp;Z&amp;F
Tab: &amp;A&amp;R&amp;8&amp;P/&amp;N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17"/>
  <sheetViews>
    <sheetView showGridLines="0" tabSelected="1" workbookViewId="0">
      <selection activeCell="E32" sqref="E32"/>
    </sheetView>
  </sheetViews>
  <sheetFormatPr defaultColWidth="8.7109375" defaultRowHeight="15" x14ac:dyDescent="0.25"/>
  <cols>
    <col min="1" max="1" width="10.7109375" customWidth="1"/>
    <col min="2" max="2" width="13.28515625" customWidth="1"/>
    <col min="3" max="3" width="13.28515625" bestFit="1" customWidth="1"/>
    <col min="4" max="4" width="9.5703125" bestFit="1" customWidth="1"/>
    <col min="5" max="5" width="17.5703125" bestFit="1" customWidth="1"/>
    <col min="6" max="6" width="9.5703125" bestFit="1" customWidth="1"/>
    <col min="9" max="9" width="16.85546875" hidden="1" customWidth="1"/>
    <col min="10" max="10" width="13.85546875" hidden="1" customWidth="1"/>
    <col min="11" max="12" width="13.28515625" hidden="1" customWidth="1"/>
    <col min="13" max="13" width="11.28515625" hidden="1" customWidth="1"/>
    <col min="14" max="14" width="0" hidden="1" customWidth="1"/>
    <col min="15" max="15" width="15.42578125" hidden="1" customWidth="1"/>
  </cols>
  <sheetData>
    <row r="1" spans="1:16" ht="18.75" x14ac:dyDescent="0.3">
      <c r="A1" s="24" t="str">
        <f>Admin!B3</f>
        <v>London Hydro</v>
      </c>
    </row>
    <row r="2" spans="1:16" ht="18.75" x14ac:dyDescent="0.3">
      <c r="A2" s="24" t="str">
        <f>Admin!B5</f>
        <v>EB-2021-0041</v>
      </c>
    </row>
    <row r="3" spans="1:16" ht="18.75" x14ac:dyDescent="0.3">
      <c r="A3" s="24" t="str">
        <f>Admin!B7</f>
        <v>2022 Load Forecast</v>
      </c>
    </row>
    <row r="6" spans="1:16" x14ac:dyDescent="0.25">
      <c r="B6" s="223" t="s">
        <v>200</v>
      </c>
      <c r="C6" s="132"/>
      <c r="D6" s="132"/>
      <c r="E6" s="132"/>
      <c r="F6" s="132"/>
      <c r="I6" s="223" t="s">
        <v>172</v>
      </c>
    </row>
    <row r="7" spans="1:16" ht="30" x14ac:dyDescent="0.25">
      <c r="A7" s="77"/>
      <c r="B7" s="244"/>
      <c r="C7" s="244" t="s">
        <v>201</v>
      </c>
      <c r="D7" s="244" t="s">
        <v>144</v>
      </c>
      <c r="E7" s="244" t="s">
        <v>202</v>
      </c>
      <c r="F7" s="245" t="s">
        <v>144</v>
      </c>
      <c r="I7" s="289" t="s">
        <v>168</v>
      </c>
      <c r="J7" s="289" t="s">
        <v>169</v>
      </c>
      <c r="K7" s="289" t="s">
        <v>184</v>
      </c>
      <c r="L7" s="289" t="s">
        <v>170</v>
      </c>
      <c r="M7" s="289" t="s">
        <v>171</v>
      </c>
    </row>
    <row r="8" spans="1:16" x14ac:dyDescent="0.25">
      <c r="B8" s="246">
        <v>2017</v>
      </c>
      <c r="C8" s="247">
        <v>3178422069.2000003</v>
      </c>
      <c r="D8" s="248"/>
      <c r="E8" s="247">
        <v>3187115326.5370069</v>
      </c>
      <c r="F8" s="248"/>
      <c r="I8" s="247">
        <v>3463554919</v>
      </c>
      <c r="J8" s="247">
        <v>63102393.354095995</v>
      </c>
      <c r="K8" s="247">
        <v>19056427</v>
      </c>
      <c r="L8" s="247">
        <f t="shared" ref="L8:L16" si="0">I8-J8-K8</f>
        <v>3381396098.6459041</v>
      </c>
      <c r="M8" s="247" t="e">
        <f>#REF!-L8</f>
        <v>#REF!</v>
      </c>
    </row>
    <row r="9" spans="1:16" x14ac:dyDescent="0.25">
      <c r="B9" s="246">
        <v>2018</v>
      </c>
      <c r="C9" s="247">
        <v>3310791494.5999994</v>
      </c>
      <c r="D9" s="248">
        <v>4.1646270544967612E-2</v>
      </c>
      <c r="E9" s="247">
        <v>3289604488.1284838</v>
      </c>
      <c r="F9" s="248">
        <v>3.2157343268415017E-2</v>
      </c>
      <c r="I9" s="247">
        <v>3513738064</v>
      </c>
      <c r="J9" s="247">
        <v>56421387.336479999</v>
      </c>
      <c r="K9" s="247">
        <v>20063218</v>
      </c>
      <c r="L9" s="247">
        <f t="shared" si="0"/>
        <v>3437253458.6635199</v>
      </c>
      <c r="M9" s="247" t="e">
        <f>#REF!-L9</f>
        <v>#REF!</v>
      </c>
    </row>
    <row r="10" spans="1:16" x14ac:dyDescent="0.25">
      <c r="B10" s="246">
        <v>2019</v>
      </c>
      <c r="C10" s="247">
        <v>3211003829</v>
      </c>
      <c r="D10" s="248">
        <v>-3.0140123823187315E-2</v>
      </c>
      <c r="E10" s="247">
        <v>3208288134.0298901</v>
      </c>
      <c r="F10" s="248">
        <v>-2.4719188702486239E-2</v>
      </c>
      <c r="I10" s="247">
        <v>3442614476</v>
      </c>
      <c r="J10" s="247">
        <v>52262407.258475997</v>
      </c>
      <c r="K10" s="247">
        <v>20267359</v>
      </c>
      <c r="L10" s="247">
        <f t="shared" si="0"/>
        <v>3370084709.7415242</v>
      </c>
      <c r="M10" s="247" t="e">
        <f>#REF!-L10</f>
        <v>#REF!</v>
      </c>
    </row>
    <row r="11" spans="1:16" x14ac:dyDescent="0.25">
      <c r="B11" s="246">
        <v>2020</v>
      </c>
      <c r="C11" s="247">
        <v>3163553020.4999995</v>
      </c>
      <c r="D11" s="248">
        <v>-1.4777562104240194E-2</v>
      </c>
      <c r="E11" s="247">
        <v>3178762464.6046219</v>
      </c>
      <c r="F11" s="248">
        <v>-9.2029357064576933E-3</v>
      </c>
      <c r="I11" s="247">
        <v>3315882997</v>
      </c>
      <c r="J11" s="247">
        <v>49973683.446329996</v>
      </c>
      <c r="K11" s="247">
        <v>20742671</v>
      </c>
      <c r="L11" s="247">
        <f t="shared" si="0"/>
        <v>3245166642.5536699</v>
      </c>
      <c r="M11" s="247" t="e">
        <f>#REF!-L11</f>
        <v>#REF!</v>
      </c>
    </row>
    <row r="12" spans="1:16" x14ac:dyDescent="0.25">
      <c r="B12" s="328">
        <v>2021</v>
      </c>
      <c r="C12" s="249"/>
      <c r="D12" s="250"/>
      <c r="E12" s="326">
        <v>3224846581.5962806</v>
      </c>
      <c r="F12" s="250">
        <v>1.4497502567368148E-2</v>
      </c>
      <c r="I12" s="247">
        <v>3428161401</v>
      </c>
      <c r="J12" s="247">
        <v>53371067.683080003</v>
      </c>
      <c r="K12" s="247">
        <v>21321499</v>
      </c>
      <c r="L12" s="247">
        <f t="shared" si="0"/>
        <v>3353468834.3169198</v>
      </c>
      <c r="M12" s="247" t="e">
        <f>#REF!-L12</f>
        <v>#REF!</v>
      </c>
    </row>
    <row r="13" spans="1:16" x14ac:dyDescent="0.25">
      <c r="B13" s="328">
        <v>2022</v>
      </c>
      <c r="C13" s="249"/>
      <c r="D13" s="250"/>
      <c r="E13" s="326">
        <v>3224846581.5962806</v>
      </c>
      <c r="F13" s="250">
        <v>0</v>
      </c>
      <c r="I13" s="247">
        <v>3408628157</v>
      </c>
      <c r="J13" s="247">
        <v>50087185.63736999</v>
      </c>
      <c r="K13" s="247">
        <v>20826327</v>
      </c>
      <c r="L13" s="247">
        <f t="shared" si="0"/>
        <v>3337714644.3626299</v>
      </c>
      <c r="M13" s="247" t="e">
        <f>#REF!-L13</f>
        <v>#REF!</v>
      </c>
    </row>
    <row r="14" spans="1:16" x14ac:dyDescent="0.25">
      <c r="I14" s="247">
        <v>3351442979</v>
      </c>
      <c r="J14" s="247">
        <v>44116306.507139996</v>
      </c>
      <c r="K14" s="247">
        <v>4999245</v>
      </c>
      <c r="L14" s="247">
        <f t="shared" si="0"/>
        <v>3302327427.4928598</v>
      </c>
      <c r="M14" s="247" t="e">
        <f>#REF!-L14</f>
        <v>#REF!</v>
      </c>
      <c r="P14" s="311"/>
    </row>
    <row r="15" spans="1:16" x14ac:dyDescent="0.25">
      <c r="I15" s="247">
        <v>3346449709</v>
      </c>
      <c r="J15" s="247">
        <v>40786785.46845001</v>
      </c>
      <c r="K15" s="247" t="e">
        <f>'Rate Class Energy Model'!#REF!</f>
        <v>#REF!</v>
      </c>
      <c r="L15" s="247" t="e">
        <f t="shared" si="0"/>
        <v>#REF!</v>
      </c>
      <c r="M15" s="247" t="e">
        <f>#REF!-L15</f>
        <v>#REF!</v>
      </c>
      <c r="P15" s="311"/>
    </row>
    <row r="16" spans="1:16" x14ac:dyDescent="0.25">
      <c r="I16" s="247">
        <v>3306054226</v>
      </c>
      <c r="J16" s="247">
        <v>39042245.47608</v>
      </c>
      <c r="K16" s="247">
        <v>18934749.539999999</v>
      </c>
      <c r="L16" s="247">
        <f t="shared" si="0"/>
        <v>3248077230.9839201</v>
      </c>
      <c r="M16" s="247" t="e">
        <f>#REF!-L16</f>
        <v>#REF!</v>
      </c>
      <c r="P16" s="311"/>
    </row>
    <row r="17" spans="9:13" x14ac:dyDescent="0.25">
      <c r="I17" s="247">
        <f>3213257132+59773261</f>
        <v>3273030393</v>
      </c>
      <c r="J17" s="247">
        <v>7105182.2368799988</v>
      </c>
      <c r="K17" s="247">
        <v>18828447.795000002</v>
      </c>
      <c r="L17" s="247">
        <f>I17-J17-K17</f>
        <v>3247096762.9681201</v>
      </c>
      <c r="M17" s="247" t="e">
        <f>#REF!-L17</f>
        <v>#REF!</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27"/>
  <sheetViews>
    <sheetView showGridLines="0" workbookViewId="0">
      <selection activeCell="C14" sqref="C14"/>
    </sheetView>
  </sheetViews>
  <sheetFormatPr defaultRowHeight="15" x14ac:dyDescent="0.25"/>
  <cols>
    <col min="1" max="1" width="14.85546875" customWidth="1"/>
    <col min="2" max="3" width="14.7109375" customWidth="1"/>
    <col min="4" max="5" width="12.7109375" customWidth="1"/>
    <col min="6" max="6" width="2.7109375" customWidth="1"/>
    <col min="7" max="7" width="12.7109375" customWidth="1"/>
    <col min="8" max="8" width="14.7109375" customWidth="1"/>
    <col min="9" max="9" width="16.85546875" bestFit="1" customWidth="1"/>
    <col min="10" max="10" width="14.7109375" customWidth="1"/>
    <col min="11" max="11" width="12.7109375" customWidth="1"/>
    <col min="16" max="16" width="11" bestFit="1" customWidth="1"/>
  </cols>
  <sheetData>
    <row r="1" spans="1:16" ht="18.75" x14ac:dyDescent="0.3">
      <c r="A1" s="24" t="str">
        <f>Admin!B3</f>
        <v>London Hydro</v>
      </c>
    </row>
    <row r="2" spans="1:16" ht="18.75" x14ac:dyDescent="0.3">
      <c r="A2" s="24" t="str">
        <f>Admin!B5</f>
        <v>EB-2021-0041</v>
      </c>
    </row>
    <row r="3" spans="1:16" ht="18.75" x14ac:dyDescent="0.3">
      <c r="A3" s="24" t="str">
        <f>Admin!B7</f>
        <v>2022 Load Forecast</v>
      </c>
    </row>
    <row r="4" spans="1:16" ht="18.75" x14ac:dyDescent="0.3">
      <c r="A4" s="24" t="s">
        <v>141</v>
      </c>
    </row>
    <row r="5" spans="1:16" ht="19.5" thickBot="1" x14ac:dyDescent="0.35">
      <c r="A5" s="26" t="s">
        <v>218</v>
      </c>
      <c r="B5" s="27"/>
      <c r="C5" s="27"/>
      <c r="D5" s="27"/>
      <c r="E5" s="27"/>
      <c r="F5" s="27"/>
      <c r="G5" s="27"/>
      <c r="H5" s="27"/>
      <c r="I5" s="27"/>
      <c r="J5" s="27"/>
      <c r="K5" s="27"/>
    </row>
    <row r="7" spans="1:16" ht="18.75" x14ac:dyDescent="0.3">
      <c r="A7" s="232" t="s">
        <v>19</v>
      </c>
      <c r="B7" s="233"/>
      <c r="C7" s="233"/>
      <c r="D7" s="233"/>
      <c r="E7" s="234"/>
      <c r="G7" s="232" t="s">
        <v>20</v>
      </c>
      <c r="H7" s="233"/>
      <c r="I7" s="233"/>
      <c r="J7" s="233"/>
      <c r="K7" s="234"/>
    </row>
    <row r="8" spans="1:16" ht="30" x14ac:dyDescent="0.25">
      <c r="A8" s="40" t="s">
        <v>10</v>
      </c>
      <c r="B8" s="14" t="s">
        <v>15</v>
      </c>
      <c r="C8" s="14" t="s">
        <v>16</v>
      </c>
      <c r="D8" s="14" t="s">
        <v>17</v>
      </c>
      <c r="E8" s="15" t="s">
        <v>18</v>
      </c>
      <c r="G8" s="40" t="s">
        <v>10</v>
      </c>
      <c r="H8" s="14" t="s">
        <v>15</v>
      </c>
      <c r="I8" s="14" t="s">
        <v>21</v>
      </c>
      <c r="J8" s="14" t="s">
        <v>36</v>
      </c>
      <c r="K8" s="15" t="s">
        <v>37</v>
      </c>
    </row>
    <row r="9" spans="1:16" x14ac:dyDescent="0.25">
      <c r="A9" s="73">
        <v>2017</v>
      </c>
      <c r="B9" s="48">
        <f>'Wholesale Forecast'!C8</f>
        <v>3178422069.2000003</v>
      </c>
      <c r="C9" s="37">
        <f>'Wholesale Forecast'!E8</f>
        <v>3187115326.5370069</v>
      </c>
      <c r="D9" s="48">
        <f t="shared" ref="D9:D12" si="0">B9-C9</f>
        <v>-8693257.3370065689</v>
      </c>
      <c r="E9" s="224">
        <f t="shared" ref="E9:E12" si="1">D9/B9</f>
        <v>-2.7350858846744153E-3</v>
      </c>
      <c r="G9" s="73">
        <v>2017</v>
      </c>
      <c r="H9" s="48">
        <f t="shared" ref="H9:H12" si="2">B9</f>
        <v>3178422069.2000003</v>
      </c>
      <c r="I9" s="37">
        <f>'Rate Class Energy Model'!J10</f>
        <v>3070375149</v>
      </c>
      <c r="J9" s="48">
        <f t="shared" ref="J9:J12" si="3">H9-I9</f>
        <v>108046920.20000029</v>
      </c>
      <c r="K9" s="45">
        <f t="shared" ref="K9:K12" si="4">1+(J9/H9)</f>
        <v>1.0339938868556859</v>
      </c>
    </row>
    <row r="10" spans="1:16" x14ac:dyDescent="0.25">
      <c r="A10" s="73">
        <v>2018</v>
      </c>
      <c r="B10" s="48">
        <f>'Wholesale Forecast'!C9</f>
        <v>3310791494.5999994</v>
      </c>
      <c r="C10" s="37">
        <f>'Wholesale Forecast'!E9</f>
        <v>3289604488.1284838</v>
      </c>
      <c r="D10" s="48">
        <f t="shared" si="0"/>
        <v>21187006.471515656</v>
      </c>
      <c r="E10" s="224">
        <f t="shared" si="1"/>
        <v>6.3993780659616596E-3</v>
      </c>
      <c r="G10" s="73">
        <v>2018</v>
      </c>
      <c r="H10" s="48">
        <f t="shared" si="2"/>
        <v>3310791494.5999994</v>
      </c>
      <c r="I10" s="37">
        <f>'Rate Class Energy Model'!J11</f>
        <v>3215830065.2000003</v>
      </c>
      <c r="J10" s="48">
        <f t="shared" si="3"/>
        <v>94961429.399999142</v>
      </c>
      <c r="K10" s="45">
        <f t="shared" si="4"/>
        <v>1.0286823949967505</v>
      </c>
      <c r="P10" s="310"/>
    </row>
    <row r="11" spans="1:16" x14ac:dyDescent="0.25">
      <c r="A11" s="73">
        <v>2019</v>
      </c>
      <c r="B11" s="48">
        <f>'Wholesale Forecast'!C10</f>
        <v>3211003829</v>
      </c>
      <c r="C11" s="37">
        <f>'Wholesale Forecast'!E10</f>
        <v>3208288134.0298901</v>
      </c>
      <c r="D11" s="48">
        <f t="shared" si="0"/>
        <v>2715694.9701099396</v>
      </c>
      <c r="E11" s="224">
        <f t="shared" si="1"/>
        <v>8.4574641287665049E-4</v>
      </c>
      <c r="G11" s="73">
        <v>2019</v>
      </c>
      <c r="H11" s="48">
        <f t="shared" si="2"/>
        <v>3211003829</v>
      </c>
      <c r="I11" s="37">
        <f>'Rate Class Energy Model'!J12</f>
        <v>3120062339.9400005</v>
      </c>
      <c r="J11" s="48">
        <f t="shared" si="3"/>
        <v>90941489.059999466</v>
      </c>
      <c r="K11" s="45">
        <f t="shared" si="4"/>
        <v>1.0283218251683994</v>
      </c>
    </row>
    <row r="12" spans="1:16" x14ac:dyDescent="0.25">
      <c r="A12" s="73">
        <v>2020</v>
      </c>
      <c r="B12" s="48">
        <f>'Wholesale Forecast'!C11</f>
        <v>3163553020.4999995</v>
      </c>
      <c r="C12" s="37">
        <f>'Wholesale Forecast'!E11</f>
        <v>3178762464.6046219</v>
      </c>
      <c r="D12" s="48">
        <f t="shared" si="0"/>
        <v>-15209444.104622364</v>
      </c>
      <c r="E12" s="224">
        <f t="shared" si="1"/>
        <v>-4.8077095613900953E-3</v>
      </c>
      <c r="G12" s="73">
        <v>2020</v>
      </c>
      <c r="H12" s="48">
        <f t="shared" si="2"/>
        <v>3163553020.4999995</v>
      </c>
      <c r="I12" s="37">
        <f>'Rate Class Energy Model'!J13</f>
        <v>3082955257.4399996</v>
      </c>
      <c r="J12" s="48">
        <f t="shared" si="3"/>
        <v>80597763.059999943</v>
      </c>
      <c r="K12" s="45">
        <f t="shared" si="4"/>
        <v>1.0254769755833779</v>
      </c>
    </row>
    <row r="13" spans="1:16" x14ac:dyDescent="0.25">
      <c r="A13" s="73">
        <v>2021</v>
      </c>
      <c r="B13" s="220"/>
      <c r="C13" s="37">
        <f>'Wholesale Forecast'!E12</f>
        <v>3224846581.5962806</v>
      </c>
      <c r="D13" s="42"/>
      <c r="E13" s="221"/>
      <c r="G13" s="73">
        <v>2021</v>
      </c>
      <c r="H13" s="222"/>
      <c r="I13" s="5">
        <f>C13/K13</f>
        <v>3140370612.1299844</v>
      </c>
      <c r="J13" s="42"/>
      <c r="K13" s="221">
        <v>1.0268999999999999</v>
      </c>
    </row>
    <row r="14" spans="1:16" x14ac:dyDescent="0.25">
      <c r="A14" s="74">
        <v>2022</v>
      </c>
      <c r="B14" s="35"/>
      <c r="C14" s="231">
        <f>'Wholesale Forecast'!E13</f>
        <v>3224846581.5962806</v>
      </c>
      <c r="D14" s="46"/>
      <c r="E14" s="47"/>
      <c r="G14" s="74">
        <v>2022</v>
      </c>
      <c r="H14" s="35">
        <f>B14</f>
        <v>0</v>
      </c>
      <c r="I14" s="327">
        <f>(C14/K14)</f>
        <v>3140370612.1299844</v>
      </c>
      <c r="J14" s="46"/>
      <c r="K14" s="47">
        <f>K13</f>
        <v>1.0268999999999999</v>
      </c>
    </row>
    <row r="16" spans="1:16" x14ac:dyDescent="0.25">
      <c r="I16" s="1"/>
    </row>
    <row r="17" spans="9:10" x14ac:dyDescent="0.25">
      <c r="I17" s="1"/>
    </row>
    <row r="18" spans="9:10" x14ac:dyDescent="0.25">
      <c r="I18" s="1"/>
      <c r="J18" s="1"/>
    </row>
    <row r="19" spans="9:10" x14ac:dyDescent="0.25">
      <c r="I19" s="1"/>
    </row>
    <row r="20" spans="9:10" x14ac:dyDescent="0.25">
      <c r="I20" s="1"/>
    </row>
    <row r="21" spans="9:10" x14ac:dyDescent="0.25">
      <c r="I21" s="1"/>
    </row>
    <row r="27" spans="9:10" ht="46.5" customHeight="1" x14ac:dyDescent="0.25"/>
  </sheetData>
  <pageMargins left="0.7" right="0.7" top="0.75" bottom="0.75" header="0.3" footer="0.3"/>
  <pageSetup scale="87" fitToHeight="2" orientation="landscape" r:id="rId1"/>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Z42"/>
  <sheetViews>
    <sheetView showGridLines="0" zoomScale="110" zoomScaleNormal="110" workbookViewId="0">
      <pane xSplit="1" ySplit="7" topLeftCell="B8" activePane="bottomRight" state="frozen"/>
      <selection activeCell="A2" sqref="A2"/>
      <selection pane="topRight" activeCell="A2" sqref="A2"/>
      <selection pane="bottomLeft" activeCell="A2" sqref="A2"/>
      <selection pane="bottomRight" activeCell="A9" sqref="A9:XFD9"/>
    </sheetView>
  </sheetViews>
  <sheetFormatPr defaultRowHeight="15" x14ac:dyDescent="0.25"/>
  <cols>
    <col min="1" max="1" width="51.85546875" bestFit="1" customWidth="1"/>
    <col min="2" max="10" width="12.7109375" customWidth="1"/>
    <col min="12" max="23" width="9.140625" hidden="1" customWidth="1"/>
  </cols>
  <sheetData>
    <row r="1" spans="1:26" ht="18.75" x14ac:dyDescent="0.3">
      <c r="A1" s="24" t="str">
        <f>Admin!B3</f>
        <v>London Hydro</v>
      </c>
      <c r="B1" s="25"/>
      <c r="C1" s="25"/>
      <c r="D1" s="25"/>
      <c r="E1" s="25"/>
      <c r="F1" s="25"/>
      <c r="G1" s="25"/>
      <c r="H1" s="25"/>
      <c r="I1" s="25"/>
      <c r="J1" s="25"/>
    </row>
    <row r="2" spans="1:26" ht="18.75" x14ac:dyDescent="0.3">
      <c r="A2" s="24" t="str">
        <f>Admin!B5</f>
        <v>EB-2021-0041</v>
      </c>
      <c r="B2" s="25"/>
      <c r="C2" s="25"/>
      <c r="D2" s="25"/>
      <c r="E2" s="25"/>
      <c r="F2" s="25"/>
      <c r="G2" s="25"/>
      <c r="H2" s="25"/>
      <c r="I2" s="25"/>
      <c r="J2" s="25"/>
    </row>
    <row r="3" spans="1:26" ht="18.75" x14ac:dyDescent="0.3">
      <c r="A3" s="24" t="str">
        <f>Admin!B7</f>
        <v>2022 Load Forecast</v>
      </c>
      <c r="B3" s="25"/>
      <c r="C3" s="25"/>
      <c r="D3" s="25"/>
      <c r="E3" s="25"/>
      <c r="F3" s="25"/>
      <c r="G3" s="25"/>
      <c r="H3" s="25"/>
      <c r="I3" s="25"/>
      <c r="J3" s="25"/>
    </row>
    <row r="4" spans="1:26" ht="18.75" x14ac:dyDescent="0.3">
      <c r="A4" s="24"/>
      <c r="B4" s="25"/>
      <c r="C4" s="25"/>
      <c r="D4" s="25"/>
      <c r="E4" s="25"/>
      <c r="F4" s="25"/>
      <c r="G4" s="25"/>
      <c r="H4" s="25"/>
      <c r="I4" s="25"/>
      <c r="J4" s="25"/>
    </row>
    <row r="5" spans="1:26" ht="19.5" thickBot="1" x14ac:dyDescent="0.35">
      <c r="A5" s="26" t="s">
        <v>12</v>
      </c>
      <c r="B5" s="27"/>
      <c r="C5" s="27"/>
      <c r="D5" s="27"/>
      <c r="E5" s="27"/>
      <c r="F5" s="27"/>
      <c r="G5" s="27"/>
      <c r="H5" s="27"/>
      <c r="I5" s="27"/>
      <c r="J5" s="27"/>
    </row>
    <row r="7" spans="1:26" ht="45" x14ac:dyDescent="0.25">
      <c r="A7" s="13" t="s">
        <v>10</v>
      </c>
      <c r="B7" s="14" t="s">
        <v>2</v>
      </c>
      <c r="C7" s="14" t="s">
        <v>3</v>
      </c>
      <c r="D7" s="14" t="s">
        <v>4</v>
      </c>
      <c r="E7" s="14" t="s">
        <v>143</v>
      </c>
      <c r="F7" s="14" t="s">
        <v>5</v>
      </c>
      <c r="G7" s="14" t="s">
        <v>109</v>
      </c>
      <c r="H7" s="14" t="s">
        <v>108</v>
      </c>
      <c r="I7" s="14" t="s">
        <v>107</v>
      </c>
      <c r="J7" s="15" t="s">
        <v>9</v>
      </c>
    </row>
    <row r="8" spans="1:26" ht="18.75" x14ac:dyDescent="0.3">
      <c r="A8" s="235" t="s">
        <v>142</v>
      </c>
      <c r="B8" s="236"/>
      <c r="C8" s="236"/>
      <c r="D8" s="236"/>
      <c r="E8" s="236"/>
      <c r="F8" s="236"/>
      <c r="G8" s="236"/>
      <c r="H8" s="236"/>
      <c r="I8" s="236"/>
      <c r="J8" s="237"/>
      <c r="L8" s="49" t="s">
        <v>117</v>
      </c>
      <c r="M8" s="4"/>
      <c r="N8" s="4"/>
      <c r="O8" s="4"/>
      <c r="P8" s="4"/>
      <c r="Q8" s="4"/>
      <c r="R8" s="4"/>
      <c r="S8" s="4"/>
      <c r="T8" s="4"/>
      <c r="U8" s="4"/>
      <c r="V8" s="8"/>
    </row>
    <row r="9" spans="1:26" ht="18.75" hidden="1" x14ac:dyDescent="0.3">
      <c r="A9" s="22">
        <v>2016</v>
      </c>
      <c r="B9" s="5">
        <v>140654</v>
      </c>
      <c r="C9" s="5">
        <f>12538</f>
        <v>12538</v>
      </c>
      <c r="D9" s="5">
        <f>1594-4</f>
        <v>1590</v>
      </c>
      <c r="E9" s="5">
        <v>6</v>
      </c>
      <c r="F9" s="5">
        <v>1</v>
      </c>
      <c r="G9" s="5">
        <v>35715</v>
      </c>
      <c r="H9" s="5">
        <v>620</v>
      </c>
      <c r="I9" s="5">
        <v>1521</v>
      </c>
      <c r="J9" s="21">
        <f t="shared" ref="J9:J13" si="0">SUM(B9:I9)</f>
        <v>192645</v>
      </c>
      <c r="L9" s="350"/>
      <c r="M9" s="351"/>
      <c r="N9" s="351"/>
      <c r="O9" s="351"/>
      <c r="P9" s="351"/>
      <c r="Q9" s="351"/>
      <c r="R9" s="351"/>
      <c r="S9" s="351"/>
      <c r="T9" s="351"/>
      <c r="U9" s="351"/>
      <c r="V9" s="352"/>
    </row>
    <row r="10" spans="1:26" x14ac:dyDescent="0.25">
      <c r="A10" s="22">
        <v>2017</v>
      </c>
      <c r="B10" s="5">
        <v>142206</v>
      </c>
      <c r="C10" s="5">
        <f>12575</f>
        <v>12575</v>
      </c>
      <c r="D10" s="5">
        <f>1602-4</f>
        <v>1598</v>
      </c>
      <c r="E10" s="5">
        <v>6</v>
      </c>
      <c r="F10" s="5">
        <v>1</v>
      </c>
      <c r="G10" s="5">
        <v>36184</v>
      </c>
      <c r="H10" s="5">
        <v>584</v>
      </c>
      <c r="I10" s="5">
        <v>1515</v>
      </c>
      <c r="J10" s="21">
        <f t="shared" si="0"/>
        <v>194669</v>
      </c>
      <c r="L10" s="225"/>
      <c r="M10" s="56"/>
      <c r="N10" s="56"/>
      <c r="O10" s="56"/>
      <c r="P10" s="56"/>
      <c r="Q10" s="56"/>
      <c r="R10" s="56"/>
      <c r="S10" s="56"/>
      <c r="T10" s="56"/>
      <c r="U10" s="56"/>
      <c r="V10" s="226"/>
      <c r="Z10" s="2"/>
    </row>
    <row r="11" spans="1:26" x14ac:dyDescent="0.25">
      <c r="A11" s="23">
        <v>2018</v>
      </c>
      <c r="B11" s="5">
        <v>143918</v>
      </c>
      <c r="C11" s="5">
        <f>12634</f>
        <v>12634</v>
      </c>
      <c r="D11" s="5">
        <f>1619-4</f>
        <v>1615</v>
      </c>
      <c r="E11" s="5">
        <v>7</v>
      </c>
      <c r="F11" s="5">
        <v>1</v>
      </c>
      <c r="G11" s="5">
        <v>36831</v>
      </c>
      <c r="H11" s="5">
        <v>540</v>
      </c>
      <c r="I11" s="5">
        <v>1522</v>
      </c>
      <c r="J11" s="21">
        <f t="shared" si="0"/>
        <v>197068</v>
      </c>
      <c r="L11" s="225"/>
      <c r="M11" s="56"/>
      <c r="N11" s="56"/>
      <c r="O11" s="56"/>
      <c r="P11" s="56"/>
      <c r="Q11" s="56"/>
      <c r="R11" s="56"/>
      <c r="S11" s="56"/>
      <c r="T11" s="56"/>
      <c r="U11" s="56"/>
      <c r="V11" s="226"/>
      <c r="Z11" s="2"/>
    </row>
    <row r="12" spans="1:26" x14ac:dyDescent="0.25">
      <c r="A12" s="22">
        <v>2019</v>
      </c>
      <c r="B12" s="5">
        <v>145514</v>
      </c>
      <c r="C12" s="5">
        <f>12771</f>
        <v>12771</v>
      </c>
      <c r="D12" s="5">
        <f>1576-4</f>
        <v>1572</v>
      </c>
      <c r="E12" s="5">
        <v>7</v>
      </c>
      <c r="F12" s="5">
        <v>1</v>
      </c>
      <c r="G12" s="5">
        <v>37110</v>
      </c>
      <c r="H12" s="5">
        <v>525</v>
      </c>
      <c r="I12" s="5">
        <v>1543</v>
      </c>
      <c r="J12" s="21">
        <f t="shared" si="0"/>
        <v>199043</v>
      </c>
      <c r="L12" s="225"/>
      <c r="M12" s="56"/>
      <c r="N12" s="56"/>
      <c r="O12" s="56"/>
      <c r="P12" s="56"/>
      <c r="Q12" s="56"/>
      <c r="R12" s="56"/>
      <c r="S12" s="56"/>
      <c r="T12" s="56"/>
      <c r="U12" s="56"/>
      <c r="V12" s="226"/>
      <c r="Z12" s="2"/>
    </row>
    <row r="13" spans="1:26" x14ac:dyDescent="0.25">
      <c r="A13" s="23">
        <v>2020</v>
      </c>
      <c r="B13" s="5">
        <v>146977</v>
      </c>
      <c r="C13" s="5">
        <f>12891</f>
        <v>12891</v>
      </c>
      <c r="D13" s="5">
        <f>1538-4</f>
        <v>1534</v>
      </c>
      <c r="E13" s="5">
        <v>8</v>
      </c>
      <c r="F13" s="5">
        <v>1</v>
      </c>
      <c r="G13" s="5">
        <v>37806</v>
      </c>
      <c r="H13" s="5">
        <v>520</v>
      </c>
      <c r="I13" s="5">
        <v>1533</v>
      </c>
      <c r="J13" s="21">
        <f t="shared" si="0"/>
        <v>201270</v>
      </c>
      <c r="L13" s="225"/>
      <c r="M13" s="56"/>
      <c r="N13" s="56"/>
      <c r="O13" s="56"/>
      <c r="P13" s="56"/>
      <c r="Q13" s="56"/>
      <c r="R13" s="56"/>
      <c r="S13" s="56"/>
      <c r="T13" s="56"/>
      <c r="U13" s="56"/>
      <c r="V13" s="226"/>
      <c r="Z13" s="2"/>
    </row>
    <row r="14" spans="1:26" ht="18.75" x14ac:dyDescent="0.3">
      <c r="A14" s="238" t="s">
        <v>185</v>
      </c>
      <c r="B14" s="239"/>
      <c r="C14" s="239"/>
      <c r="D14" s="239"/>
      <c r="E14" s="239"/>
      <c r="F14" s="239"/>
      <c r="G14" s="239"/>
      <c r="H14" s="239"/>
      <c r="I14" s="239"/>
      <c r="J14" s="240"/>
      <c r="T14" s="2" t="e">
        <f>#REF!-#REF!</f>
        <v>#REF!</v>
      </c>
    </row>
    <row r="15" spans="1:26" x14ac:dyDescent="0.25">
      <c r="A15" s="60">
        <v>2017</v>
      </c>
      <c r="B15" s="5">
        <v>1552</v>
      </c>
      <c r="C15" s="5">
        <v>37</v>
      </c>
      <c r="D15" s="5">
        <v>8</v>
      </c>
      <c r="E15" s="5">
        <v>0</v>
      </c>
      <c r="F15" s="5">
        <v>0</v>
      </c>
      <c r="G15" s="5">
        <v>469</v>
      </c>
      <c r="H15" s="5">
        <v>-28</v>
      </c>
      <c r="I15" s="5">
        <v>-6</v>
      </c>
      <c r="J15" s="313">
        <f t="shared" ref="J15:J18" si="1">SUM(B15:I15)</f>
        <v>2032</v>
      </c>
    </row>
    <row r="16" spans="1:26" x14ac:dyDescent="0.25">
      <c r="A16" s="61">
        <v>2018</v>
      </c>
      <c r="B16" s="5">
        <f t="shared" ref="B16:I18" si="2">B11-B10</f>
        <v>1712</v>
      </c>
      <c r="C16" s="5">
        <f t="shared" si="2"/>
        <v>59</v>
      </c>
      <c r="D16" s="5">
        <f t="shared" si="2"/>
        <v>17</v>
      </c>
      <c r="E16" s="5">
        <f t="shared" si="2"/>
        <v>1</v>
      </c>
      <c r="F16" s="5">
        <f t="shared" si="2"/>
        <v>0</v>
      </c>
      <c r="G16" s="5">
        <f t="shared" si="2"/>
        <v>647</v>
      </c>
      <c r="H16" s="5">
        <f t="shared" si="2"/>
        <v>-44</v>
      </c>
      <c r="I16" s="5">
        <f t="shared" si="2"/>
        <v>7</v>
      </c>
      <c r="J16" s="313">
        <f t="shared" si="1"/>
        <v>2399</v>
      </c>
    </row>
    <row r="17" spans="1:10" x14ac:dyDescent="0.25">
      <c r="A17" s="60">
        <v>2019</v>
      </c>
      <c r="B17" s="5">
        <f t="shared" si="2"/>
        <v>1596</v>
      </c>
      <c r="C17" s="5">
        <f t="shared" si="2"/>
        <v>137</v>
      </c>
      <c r="D17" s="5">
        <f t="shared" si="2"/>
        <v>-43</v>
      </c>
      <c r="E17" s="5">
        <f t="shared" si="2"/>
        <v>0</v>
      </c>
      <c r="F17" s="5">
        <f t="shared" si="2"/>
        <v>0</v>
      </c>
      <c r="G17" s="5">
        <f t="shared" si="2"/>
        <v>279</v>
      </c>
      <c r="H17" s="5">
        <f t="shared" si="2"/>
        <v>-15</v>
      </c>
      <c r="I17" s="5">
        <f t="shared" si="2"/>
        <v>21</v>
      </c>
      <c r="J17" s="313">
        <f t="shared" si="1"/>
        <v>1975</v>
      </c>
    </row>
    <row r="18" spans="1:10" x14ac:dyDescent="0.25">
      <c r="A18" s="61">
        <v>2020</v>
      </c>
      <c r="B18" s="5">
        <f t="shared" si="2"/>
        <v>1463</v>
      </c>
      <c r="C18" s="5">
        <f t="shared" si="2"/>
        <v>120</v>
      </c>
      <c r="D18" s="5">
        <f t="shared" si="2"/>
        <v>-38</v>
      </c>
      <c r="E18" s="5">
        <f t="shared" si="2"/>
        <v>1</v>
      </c>
      <c r="F18" s="5">
        <f t="shared" si="2"/>
        <v>0</v>
      </c>
      <c r="G18" s="5">
        <f t="shared" si="2"/>
        <v>696</v>
      </c>
      <c r="H18" s="5">
        <f t="shared" si="2"/>
        <v>-5</v>
      </c>
      <c r="I18" s="5">
        <f t="shared" si="2"/>
        <v>-10</v>
      </c>
      <c r="J18" s="313">
        <f t="shared" si="1"/>
        <v>2227</v>
      </c>
    </row>
    <row r="19" spans="1:10" x14ac:dyDescent="0.25">
      <c r="A19" s="50" t="s">
        <v>219</v>
      </c>
      <c r="B19" s="111">
        <f t="shared" ref="B19:I19" si="3">AVERAGE(B15:B18)</f>
        <v>1580.75</v>
      </c>
      <c r="C19" s="111">
        <f t="shared" si="3"/>
        <v>88.25</v>
      </c>
      <c r="D19" s="111">
        <f t="shared" si="3"/>
        <v>-14</v>
      </c>
      <c r="E19" s="111">
        <f t="shared" si="3"/>
        <v>0.5</v>
      </c>
      <c r="F19" s="111">
        <f t="shared" si="3"/>
        <v>0</v>
      </c>
      <c r="G19" s="111">
        <f t="shared" si="3"/>
        <v>522.75</v>
      </c>
      <c r="H19" s="111">
        <f t="shared" si="3"/>
        <v>-23</v>
      </c>
      <c r="I19" s="111">
        <f t="shared" si="3"/>
        <v>3</v>
      </c>
      <c r="J19" s="53"/>
    </row>
    <row r="20" spans="1:10" ht="18.75" x14ac:dyDescent="0.3">
      <c r="A20" s="238" t="s">
        <v>11</v>
      </c>
      <c r="B20" s="239"/>
      <c r="C20" s="239"/>
      <c r="D20" s="239"/>
      <c r="E20" s="239"/>
      <c r="F20" s="239"/>
      <c r="G20" s="239"/>
      <c r="H20" s="239"/>
      <c r="I20" s="239"/>
      <c r="J20" s="240"/>
    </row>
    <row r="21" spans="1:10" x14ac:dyDescent="0.25">
      <c r="A21" s="60">
        <v>2017</v>
      </c>
      <c r="B21" s="7">
        <f t="shared" ref="B21:I24" si="4">IFERROR(ROUND(B10/B9,4),0)</f>
        <v>1.0109999999999999</v>
      </c>
      <c r="C21" s="7">
        <f>IFERROR(ROUND(C10/C9,4),0)</f>
        <v>1.0029999999999999</v>
      </c>
      <c r="D21" s="7">
        <f t="shared" si="4"/>
        <v>1.0049999999999999</v>
      </c>
      <c r="E21" s="7">
        <f t="shared" si="4"/>
        <v>1</v>
      </c>
      <c r="F21" s="7">
        <f t="shared" si="4"/>
        <v>1</v>
      </c>
      <c r="G21" s="7">
        <f t="shared" si="4"/>
        <v>1.0130999999999999</v>
      </c>
      <c r="H21" s="7">
        <f t="shared" si="4"/>
        <v>0.94189999999999996</v>
      </c>
      <c r="I21" s="7">
        <f t="shared" si="4"/>
        <v>0.99609999999999999</v>
      </c>
      <c r="J21" s="10"/>
    </row>
    <row r="22" spans="1:10" x14ac:dyDescent="0.25">
      <c r="A22" s="61">
        <v>2018</v>
      </c>
      <c r="B22" s="7">
        <f t="shared" si="4"/>
        <v>1.012</v>
      </c>
      <c r="C22" s="7">
        <f>IFERROR(ROUND(C11/C10,4),0)</f>
        <v>1.0046999999999999</v>
      </c>
      <c r="D22" s="7">
        <f t="shared" si="4"/>
        <v>1.0105999999999999</v>
      </c>
      <c r="E22" s="7">
        <f t="shared" si="4"/>
        <v>1.1667000000000001</v>
      </c>
      <c r="F22" s="7">
        <f t="shared" si="4"/>
        <v>1</v>
      </c>
      <c r="G22" s="7">
        <f t="shared" si="4"/>
        <v>1.0179</v>
      </c>
      <c r="H22" s="7">
        <f t="shared" si="4"/>
        <v>0.92469999999999997</v>
      </c>
      <c r="I22" s="7">
        <f t="shared" si="4"/>
        <v>1.0045999999999999</v>
      </c>
      <c r="J22" s="10"/>
    </row>
    <row r="23" spans="1:10" x14ac:dyDescent="0.25">
      <c r="A23" s="60">
        <v>2019</v>
      </c>
      <c r="B23" s="7">
        <f t="shared" si="4"/>
        <v>1.0111000000000001</v>
      </c>
      <c r="C23" s="7">
        <f t="shared" si="4"/>
        <v>1.0107999999999999</v>
      </c>
      <c r="D23" s="7">
        <f t="shared" si="4"/>
        <v>0.97340000000000004</v>
      </c>
      <c r="E23" s="7">
        <f t="shared" si="4"/>
        <v>1</v>
      </c>
      <c r="F23" s="7">
        <f t="shared" si="4"/>
        <v>1</v>
      </c>
      <c r="G23" s="7">
        <f t="shared" si="4"/>
        <v>1.0076000000000001</v>
      </c>
      <c r="H23" s="7">
        <f t="shared" si="4"/>
        <v>0.97219999999999995</v>
      </c>
      <c r="I23" s="7">
        <f t="shared" si="4"/>
        <v>1.0138</v>
      </c>
      <c r="J23" s="10"/>
    </row>
    <row r="24" spans="1:10" x14ac:dyDescent="0.25">
      <c r="A24" s="61">
        <v>2020</v>
      </c>
      <c r="B24" s="7">
        <f t="shared" si="4"/>
        <v>1.0101</v>
      </c>
      <c r="C24" s="7">
        <f t="shared" si="4"/>
        <v>1.0094000000000001</v>
      </c>
      <c r="D24" s="7">
        <f t="shared" si="4"/>
        <v>0.9758</v>
      </c>
      <c r="E24" s="7">
        <f t="shared" si="4"/>
        <v>1.1429</v>
      </c>
      <c r="F24" s="7">
        <f t="shared" si="4"/>
        <v>1</v>
      </c>
      <c r="G24" s="7">
        <f t="shared" si="4"/>
        <v>1.0187999999999999</v>
      </c>
      <c r="H24" s="7">
        <f t="shared" si="4"/>
        <v>0.99050000000000005</v>
      </c>
      <c r="I24" s="7">
        <f t="shared" si="4"/>
        <v>0.99350000000000005</v>
      </c>
      <c r="J24" s="10"/>
    </row>
    <row r="25" spans="1:10" x14ac:dyDescent="0.25">
      <c r="A25" s="50" t="s">
        <v>221</v>
      </c>
      <c r="B25" s="52">
        <f t="shared" ref="B25:I25" si="5">GEOMEAN(B21:B24)</f>
        <v>1.0110497762226649</v>
      </c>
      <c r="C25" s="52">
        <f t="shared" si="5"/>
        <v>1.0069698496066197</v>
      </c>
      <c r="D25" s="52">
        <f t="shared" si="5"/>
        <v>0.99105869886955933</v>
      </c>
      <c r="E25" s="52">
        <f t="shared" si="5"/>
        <v>1.0745876812642219</v>
      </c>
      <c r="F25" s="52">
        <f t="shared" si="5"/>
        <v>1</v>
      </c>
      <c r="G25" s="52">
        <f t="shared" si="5"/>
        <v>1.0143401849717839</v>
      </c>
      <c r="H25" s="52">
        <f t="shared" si="5"/>
        <v>0.9569823715884731</v>
      </c>
      <c r="I25" s="52">
        <f t="shared" si="5"/>
        <v>1.0019684993481106</v>
      </c>
      <c r="J25" s="53"/>
    </row>
    <row r="26" spans="1:10" ht="18.75" x14ac:dyDescent="0.3">
      <c r="A26" s="238" t="s">
        <v>118</v>
      </c>
      <c r="B26" s="239"/>
      <c r="C26" s="239"/>
      <c r="D26" s="239"/>
      <c r="E26" s="239"/>
      <c r="F26" s="239"/>
      <c r="G26" s="239"/>
      <c r="H26" s="239"/>
      <c r="I26" s="239"/>
      <c r="J26" s="240"/>
    </row>
    <row r="27" spans="1:10" x14ac:dyDescent="0.25">
      <c r="A27" s="60">
        <v>2021</v>
      </c>
      <c r="B27" s="30">
        <f t="shared" ref="B27:I27" si="6">B13*B25</f>
        <v>148601.06295987862</v>
      </c>
      <c r="C27" s="30">
        <f t="shared" si="6"/>
        <v>12980.848331278936</v>
      </c>
      <c r="D27" s="30">
        <f t="shared" si="6"/>
        <v>1520.284044065904</v>
      </c>
      <c r="E27" s="30">
        <f t="shared" si="6"/>
        <v>8.5967014501137751</v>
      </c>
      <c r="F27" s="30">
        <f t="shared" si="6"/>
        <v>1</v>
      </c>
      <c r="G27" s="30">
        <f t="shared" si="6"/>
        <v>38348.145033043264</v>
      </c>
      <c r="H27" s="30">
        <f t="shared" si="6"/>
        <v>497.63083322600602</v>
      </c>
      <c r="I27" s="30">
        <f t="shared" si="6"/>
        <v>1536.0177095006536</v>
      </c>
      <c r="J27" s="30">
        <f>SUM(B27:I27)</f>
        <v>203493.58561244348</v>
      </c>
    </row>
    <row r="28" spans="1:10" x14ac:dyDescent="0.25">
      <c r="A28" s="78">
        <v>2022</v>
      </c>
      <c r="B28" s="79">
        <f>ROUND(B27*B$25,0)</f>
        <v>150243</v>
      </c>
      <c r="C28" s="79">
        <f t="shared" ref="C28:I28" si="7">ROUND(C27*C$25,0)</f>
        <v>13071</v>
      </c>
      <c r="D28" s="79">
        <f>ROUND(D27*D$25,0)</f>
        <v>1507</v>
      </c>
      <c r="E28" s="79">
        <f t="shared" si="7"/>
        <v>9</v>
      </c>
      <c r="F28" s="79">
        <f>ROUND(F27*F$25,0)</f>
        <v>1</v>
      </c>
      <c r="G28" s="79">
        <f t="shared" si="7"/>
        <v>38898</v>
      </c>
      <c r="H28" s="79">
        <f t="shared" si="7"/>
        <v>476</v>
      </c>
      <c r="I28" s="79">
        <f t="shared" si="7"/>
        <v>1539</v>
      </c>
      <c r="J28" s="80">
        <f>SUM(B28:I28)</f>
        <v>205744</v>
      </c>
    </row>
    <row r="29" spans="1:10" ht="18.75" x14ac:dyDescent="0.3">
      <c r="A29" s="238" t="s">
        <v>123</v>
      </c>
      <c r="B29" s="239"/>
      <c r="C29" s="239"/>
      <c r="D29" s="239"/>
      <c r="E29" s="239"/>
      <c r="F29" s="239"/>
      <c r="G29" s="239"/>
      <c r="H29" s="239"/>
      <c r="I29" s="239"/>
      <c r="J29" s="240"/>
    </row>
    <row r="30" spans="1:10" x14ac:dyDescent="0.25">
      <c r="A30" s="60">
        <v>2021</v>
      </c>
      <c r="B30" s="30">
        <v>0</v>
      </c>
      <c r="C30" s="30">
        <v>0</v>
      </c>
      <c r="D30" s="30">
        <v>4</v>
      </c>
      <c r="E30" s="30">
        <v>0</v>
      </c>
      <c r="F30" s="30">
        <v>0</v>
      </c>
      <c r="G30" s="30">
        <v>0</v>
      </c>
      <c r="H30" s="30">
        <v>0</v>
      </c>
      <c r="I30" s="30">
        <v>0</v>
      </c>
      <c r="J30" s="76"/>
    </row>
    <row r="31" spans="1:10" x14ac:dyDescent="0.25">
      <c r="A31" s="78">
        <v>2022</v>
      </c>
      <c r="B31" s="79">
        <v>0</v>
      </c>
      <c r="C31" s="79">
        <v>0</v>
      </c>
      <c r="D31" s="79">
        <v>4</v>
      </c>
      <c r="E31" s="79">
        <v>0</v>
      </c>
      <c r="F31" s="79">
        <v>0</v>
      </c>
      <c r="G31" s="79">
        <v>0</v>
      </c>
      <c r="H31" s="79">
        <v>0</v>
      </c>
      <c r="I31" s="79">
        <v>0</v>
      </c>
      <c r="J31" s="80"/>
    </row>
    <row r="32" spans="1:10" ht="18.75" x14ac:dyDescent="0.3">
      <c r="A32" s="238" t="s">
        <v>147</v>
      </c>
      <c r="B32" s="239"/>
      <c r="C32" s="239"/>
      <c r="D32" s="239"/>
      <c r="E32" s="239"/>
      <c r="F32" s="239"/>
      <c r="G32" s="239"/>
      <c r="H32" s="239"/>
      <c r="I32" s="239"/>
      <c r="J32" s="240"/>
    </row>
    <row r="33" spans="1:10" x14ac:dyDescent="0.25">
      <c r="A33" s="60">
        <v>2021</v>
      </c>
      <c r="B33" s="30">
        <f>B27+B30</f>
        <v>148601.06295987862</v>
      </c>
      <c r="C33" s="30">
        <f t="shared" ref="C33:I33" si="8">C27+C30</f>
        <v>12980.848331278936</v>
      </c>
      <c r="D33" s="30">
        <f t="shared" si="8"/>
        <v>1524.284044065904</v>
      </c>
      <c r="E33" s="30">
        <f t="shared" si="8"/>
        <v>8.5967014501137751</v>
      </c>
      <c r="F33" s="30">
        <f t="shared" si="8"/>
        <v>1</v>
      </c>
      <c r="G33" s="30">
        <f t="shared" si="8"/>
        <v>38348.145033043264</v>
      </c>
      <c r="H33" s="30">
        <f t="shared" si="8"/>
        <v>497.63083322600602</v>
      </c>
      <c r="I33" s="30">
        <f t="shared" si="8"/>
        <v>1536.0177095006536</v>
      </c>
      <c r="J33" s="76">
        <f>SUM(B33:I33)</f>
        <v>203497.58561244348</v>
      </c>
    </row>
    <row r="34" spans="1:10" x14ac:dyDescent="0.25">
      <c r="A34" s="78">
        <v>2022</v>
      </c>
      <c r="B34" s="79">
        <f>B28+B31</f>
        <v>150243</v>
      </c>
      <c r="C34" s="79">
        <f>C28+C31</f>
        <v>13071</v>
      </c>
      <c r="D34" s="79">
        <f>D28+D31</f>
        <v>1511</v>
      </c>
      <c r="E34" s="79">
        <f t="shared" ref="E34:I34" si="9">E28+E31</f>
        <v>9</v>
      </c>
      <c r="F34" s="79">
        <f t="shared" si="9"/>
        <v>1</v>
      </c>
      <c r="G34" s="79">
        <f t="shared" si="9"/>
        <v>38898</v>
      </c>
      <c r="H34" s="79">
        <f t="shared" si="9"/>
        <v>476</v>
      </c>
      <c r="I34" s="79">
        <f t="shared" si="9"/>
        <v>1539</v>
      </c>
      <c r="J34" s="80">
        <f>SUM(B34:I34)</f>
        <v>205748</v>
      </c>
    </row>
    <row r="36" spans="1:10" ht="18.75" x14ac:dyDescent="0.3">
      <c r="A36" s="277" t="s">
        <v>151</v>
      </c>
      <c r="B36" s="278"/>
      <c r="C36" s="278"/>
      <c r="D36" s="278"/>
      <c r="E36" s="278"/>
      <c r="F36" s="278"/>
      <c r="G36" s="278"/>
      <c r="H36" s="278"/>
      <c r="I36" s="278"/>
      <c r="J36" s="279"/>
    </row>
    <row r="37" spans="1:10" x14ac:dyDescent="0.25">
      <c r="A37" s="60">
        <v>2021</v>
      </c>
      <c r="B37" s="30">
        <f t="shared" ref="B37:I37" si="10">B27-B13</f>
        <v>1624.0629598786181</v>
      </c>
      <c r="C37" s="30">
        <f t="shared" si="10"/>
        <v>89.848331278935802</v>
      </c>
      <c r="D37" s="30">
        <f t="shared" si="10"/>
        <v>-13.715955934095973</v>
      </c>
      <c r="E37" s="30">
        <f t="shared" si="10"/>
        <v>0.59670145011377507</v>
      </c>
      <c r="F37" s="30">
        <f t="shared" si="10"/>
        <v>0</v>
      </c>
      <c r="G37" s="30">
        <f t="shared" si="10"/>
        <v>542.14503304326354</v>
      </c>
      <c r="H37" s="30">
        <f t="shared" si="10"/>
        <v>-22.369166773993982</v>
      </c>
      <c r="I37" s="30">
        <f t="shared" si="10"/>
        <v>3.0177095006536092</v>
      </c>
      <c r="J37" s="76">
        <f>J18</f>
        <v>2227</v>
      </c>
    </row>
    <row r="38" spans="1:10" x14ac:dyDescent="0.25">
      <c r="A38" s="78">
        <v>2022</v>
      </c>
      <c r="B38" s="79">
        <f>B28-B27</f>
        <v>1641.9370401213819</v>
      </c>
      <c r="C38" s="79">
        <f t="shared" ref="C38:J38" si="11">C28-C27</f>
        <v>90.151668721064198</v>
      </c>
      <c r="D38" s="79">
        <f t="shared" si="11"/>
        <v>-13.284044065904027</v>
      </c>
      <c r="E38" s="79">
        <f t="shared" si="11"/>
        <v>0.40329854988622493</v>
      </c>
      <c r="F38" s="79">
        <f t="shared" si="11"/>
        <v>0</v>
      </c>
      <c r="G38" s="79">
        <f t="shared" si="11"/>
        <v>549.85496695673646</v>
      </c>
      <c r="H38" s="79">
        <f t="shared" si="11"/>
        <v>-21.630833226006018</v>
      </c>
      <c r="I38" s="79">
        <f t="shared" si="11"/>
        <v>2.9822904993463908</v>
      </c>
      <c r="J38" s="80">
        <f t="shared" si="11"/>
        <v>2250.4143875565205</v>
      </c>
    </row>
    <row r="40" spans="1:10" ht="18.75" x14ac:dyDescent="0.3">
      <c r="A40" s="277" t="s">
        <v>187</v>
      </c>
      <c r="B40" s="278"/>
      <c r="C40" s="278"/>
      <c r="D40" s="278"/>
      <c r="E40" s="278"/>
      <c r="F40" s="278"/>
      <c r="G40" s="278"/>
      <c r="H40" s="278"/>
      <c r="I40" s="278"/>
      <c r="J40" s="279"/>
    </row>
    <row r="41" spans="1:10" x14ac:dyDescent="0.25">
      <c r="A41" s="60">
        <v>2021</v>
      </c>
      <c r="B41" s="319">
        <f t="shared" ref="B41:J41" si="12">B33/B12-1</f>
        <v>2.121488626440482E-2</v>
      </c>
      <c r="C41" s="319">
        <f t="shared" si="12"/>
        <v>1.6431628790144481E-2</v>
      </c>
      <c r="D41" s="319">
        <f t="shared" si="12"/>
        <v>-3.0353661535684417E-2</v>
      </c>
      <c r="E41" s="319">
        <f t="shared" si="12"/>
        <v>0.22810020715911072</v>
      </c>
      <c r="F41" s="319">
        <f t="shared" si="12"/>
        <v>0</v>
      </c>
      <c r="G41" s="319">
        <f t="shared" si="12"/>
        <v>3.3364188440939468E-2</v>
      </c>
      <c r="H41" s="319">
        <f t="shared" si="12"/>
        <v>-5.2131746236179E-2</v>
      </c>
      <c r="I41" s="319">
        <f t="shared" si="12"/>
        <v>-4.5251396625706208E-3</v>
      </c>
      <c r="J41" s="319">
        <f t="shared" si="12"/>
        <v>2.2380016440886941E-2</v>
      </c>
    </row>
    <row r="42" spans="1:10" x14ac:dyDescent="0.25">
      <c r="A42" s="78">
        <v>2022</v>
      </c>
      <c r="B42" s="320">
        <f>B34/B33-1</f>
        <v>1.1049295391411196E-2</v>
      </c>
      <c r="C42" s="320">
        <f t="shared" ref="C42:J42" si="13">C34/C33-1</f>
        <v>6.9449751218364497E-3</v>
      </c>
      <c r="D42" s="320">
        <f t="shared" si="13"/>
        <v>-8.7149400517700926E-3</v>
      </c>
      <c r="E42" s="320">
        <f t="shared" si="13"/>
        <v>4.6913173875648306E-2</v>
      </c>
      <c r="F42" s="320">
        <f t="shared" si="13"/>
        <v>0</v>
      </c>
      <c r="G42" s="320">
        <f t="shared" si="13"/>
        <v>1.4338502331284753E-2</v>
      </c>
      <c r="H42" s="320">
        <f t="shared" si="13"/>
        <v>-4.3467630584260952E-2</v>
      </c>
      <c r="I42" s="320">
        <f t="shared" si="13"/>
        <v>1.9415729915743807E-3</v>
      </c>
      <c r="J42" s="321">
        <f t="shared" si="13"/>
        <v>1.1058678562616331E-2</v>
      </c>
    </row>
  </sheetData>
  <pageMargins left="0.7" right="0.7" top="0.75" bottom="0.75" header="0.3" footer="0.3"/>
  <pageSetup scale="66" orientation="portrait" r:id="rId1"/>
  <headerFooter>
    <oddFooter>&amp;R&amp;P/&amp;N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J46"/>
  <sheetViews>
    <sheetView showGridLines="0" topLeftCell="A25" zoomScaleNormal="100" workbookViewId="0">
      <selection activeCell="A31" sqref="A31:J46"/>
    </sheetView>
  </sheetViews>
  <sheetFormatPr defaultRowHeight="15" x14ac:dyDescent="0.25"/>
  <cols>
    <col min="1" max="1" width="38.140625" customWidth="1"/>
    <col min="2" max="10" width="12.7109375" customWidth="1"/>
  </cols>
  <sheetData>
    <row r="1" spans="1:10" ht="18.75" x14ac:dyDescent="0.3">
      <c r="A1" s="24" t="str">
        <f>Admin!B3</f>
        <v>London Hydro</v>
      </c>
    </row>
    <row r="2" spans="1:10" ht="18.75" x14ac:dyDescent="0.3">
      <c r="A2" s="24" t="str">
        <f>Admin!B5</f>
        <v>EB-2021-0041</v>
      </c>
    </row>
    <row r="3" spans="1:10" ht="18.75" x14ac:dyDescent="0.3">
      <c r="A3" s="24" t="str">
        <f>Admin!B7</f>
        <v>2022 Load Forecast</v>
      </c>
    </row>
    <row r="4" spans="1:10" ht="18.75" x14ac:dyDescent="0.3">
      <c r="A4" s="24"/>
    </row>
    <row r="5" spans="1:10" ht="19.5" thickBot="1" x14ac:dyDescent="0.35">
      <c r="A5" s="96" t="s">
        <v>121</v>
      </c>
      <c r="B5" s="27"/>
      <c r="C5" s="27"/>
      <c r="D5" s="27"/>
      <c r="E5" s="27"/>
      <c r="F5" s="27"/>
      <c r="G5" s="27"/>
      <c r="H5" s="27"/>
      <c r="I5" s="27"/>
      <c r="J5" s="27"/>
    </row>
    <row r="7" spans="1:10" ht="45" x14ac:dyDescent="0.25">
      <c r="A7" s="13" t="s">
        <v>10</v>
      </c>
      <c r="B7" s="14" t="s">
        <v>2</v>
      </c>
      <c r="C7" s="14" t="s">
        <v>3</v>
      </c>
      <c r="D7" s="14" t="s">
        <v>4</v>
      </c>
      <c r="E7" s="14" t="s">
        <v>143</v>
      </c>
      <c r="F7" s="14" t="s">
        <v>5</v>
      </c>
      <c r="G7" s="14" t="s">
        <v>109</v>
      </c>
      <c r="H7" s="14" t="s">
        <v>108</v>
      </c>
      <c r="I7" s="14" t="s">
        <v>107</v>
      </c>
      <c r="J7" s="15" t="s">
        <v>9</v>
      </c>
    </row>
    <row r="8" spans="1:10" ht="18.75" x14ac:dyDescent="0.3">
      <c r="A8" s="261" t="s">
        <v>165</v>
      </c>
      <c r="B8" s="262"/>
      <c r="C8" s="262"/>
      <c r="D8" s="262"/>
      <c r="E8" s="262"/>
      <c r="F8" s="262"/>
      <c r="G8" s="262"/>
      <c r="H8" s="262"/>
      <c r="I8" s="262"/>
      <c r="J8" s="263"/>
    </row>
    <row r="9" spans="1:10" x14ac:dyDescent="0.25">
      <c r="A9" s="32">
        <v>2017</v>
      </c>
      <c r="B9" s="5"/>
      <c r="C9" s="5"/>
      <c r="D9" s="5">
        <v>4</v>
      </c>
      <c r="E9" s="5"/>
      <c r="F9" s="5"/>
      <c r="G9" s="5"/>
      <c r="H9" s="5"/>
      <c r="I9" s="5"/>
      <c r="J9" s="16">
        <f t="shared" ref="J9:J12" si="0">SUM(D9:I9)</f>
        <v>4</v>
      </c>
    </row>
    <row r="10" spans="1:10" x14ac:dyDescent="0.25">
      <c r="A10" s="32">
        <v>2018</v>
      </c>
      <c r="B10" s="5"/>
      <c r="C10" s="5"/>
      <c r="D10" s="5">
        <v>4</v>
      </c>
      <c r="E10" s="5"/>
      <c r="F10" s="5"/>
      <c r="G10" s="5"/>
      <c r="H10" s="5"/>
      <c r="I10" s="5"/>
      <c r="J10" s="16">
        <f t="shared" si="0"/>
        <v>4</v>
      </c>
    </row>
    <row r="11" spans="1:10" x14ac:dyDescent="0.25">
      <c r="A11" s="32">
        <v>2019</v>
      </c>
      <c r="B11" s="5"/>
      <c r="C11" s="5"/>
      <c r="D11" s="5">
        <v>4</v>
      </c>
      <c r="E11" s="5"/>
      <c r="F11" s="5"/>
      <c r="G11" s="5"/>
      <c r="H11" s="5"/>
      <c r="I11" s="5"/>
      <c r="J11" s="16">
        <f t="shared" si="0"/>
        <v>4</v>
      </c>
    </row>
    <row r="12" spans="1:10" x14ac:dyDescent="0.25">
      <c r="A12" s="32">
        <v>2020</v>
      </c>
      <c r="B12" s="5"/>
      <c r="C12" s="5"/>
      <c r="D12" s="5">
        <v>4</v>
      </c>
      <c r="E12" s="5"/>
      <c r="F12" s="5"/>
      <c r="G12" s="5"/>
      <c r="H12" s="5"/>
      <c r="I12" s="5"/>
      <c r="J12" s="16">
        <f t="shared" si="0"/>
        <v>4</v>
      </c>
    </row>
    <row r="13" spans="1:10" ht="18.75" x14ac:dyDescent="0.3">
      <c r="A13" s="264" t="s">
        <v>222</v>
      </c>
      <c r="B13" s="265"/>
      <c r="C13" s="265"/>
      <c r="D13" s="265"/>
      <c r="E13" s="265"/>
      <c r="F13" s="265"/>
      <c r="G13" s="265"/>
      <c r="H13" s="265"/>
      <c r="I13" s="265"/>
      <c r="J13" s="266"/>
    </row>
    <row r="14" spans="1:10" x14ac:dyDescent="0.25">
      <c r="A14" s="32"/>
      <c r="B14" s="3"/>
      <c r="C14" s="3"/>
      <c r="D14" s="5">
        <v>4</v>
      </c>
      <c r="E14" s="3"/>
      <c r="F14" s="3"/>
      <c r="G14" s="3"/>
      <c r="H14" s="3"/>
      <c r="I14" s="3"/>
      <c r="J14" s="10"/>
    </row>
    <row r="15" spans="1:10" ht="18.75" x14ac:dyDescent="0.3">
      <c r="A15" s="264" t="s">
        <v>166</v>
      </c>
      <c r="B15" s="265"/>
      <c r="C15" s="265"/>
      <c r="D15" s="265"/>
      <c r="E15" s="265"/>
      <c r="F15" s="265"/>
      <c r="G15" s="265"/>
      <c r="H15" s="265"/>
      <c r="I15" s="265"/>
      <c r="J15" s="266"/>
    </row>
    <row r="16" spans="1:10" x14ac:dyDescent="0.25">
      <c r="A16" s="32">
        <v>2021</v>
      </c>
      <c r="B16" s="5"/>
      <c r="C16" s="5"/>
      <c r="D16" s="5">
        <v>4</v>
      </c>
      <c r="E16" s="5"/>
      <c r="F16" s="5"/>
      <c r="G16" s="5"/>
      <c r="H16" s="5"/>
      <c r="I16" s="5"/>
      <c r="J16" s="16">
        <f>SUM(B16:I16)</f>
        <v>4</v>
      </c>
    </row>
    <row r="17" spans="1:10" x14ac:dyDescent="0.25">
      <c r="A17" s="34">
        <v>2022</v>
      </c>
      <c r="B17" s="17"/>
      <c r="C17" s="17"/>
      <c r="D17" s="17">
        <v>4</v>
      </c>
      <c r="E17" s="17"/>
      <c r="F17" s="17"/>
      <c r="G17" s="17"/>
      <c r="H17" s="17"/>
      <c r="I17" s="17"/>
      <c r="J17" s="18">
        <f>SUM(B17:I17)</f>
        <v>4</v>
      </c>
    </row>
    <row r="19" spans="1:10" ht="45" x14ac:dyDescent="0.25">
      <c r="A19" s="13" t="s">
        <v>10</v>
      </c>
      <c r="B19" s="14" t="s">
        <v>2</v>
      </c>
      <c r="C19" s="14" t="s">
        <v>3</v>
      </c>
      <c r="D19" s="14" t="s">
        <v>4</v>
      </c>
      <c r="E19" s="14" t="s">
        <v>143</v>
      </c>
      <c r="F19" s="14" t="s">
        <v>5</v>
      </c>
      <c r="G19" s="14" t="s">
        <v>109</v>
      </c>
      <c r="H19" s="14" t="s">
        <v>108</v>
      </c>
      <c r="I19" s="14" t="s">
        <v>107</v>
      </c>
      <c r="J19" s="15" t="s">
        <v>9</v>
      </c>
    </row>
    <row r="20" spans="1:10" ht="18.75" x14ac:dyDescent="0.3">
      <c r="A20" s="261" t="s">
        <v>65</v>
      </c>
      <c r="B20" s="262"/>
      <c r="C20" s="262"/>
      <c r="D20" s="262"/>
      <c r="E20" s="262"/>
      <c r="F20" s="262"/>
      <c r="G20" s="262"/>
      <c r="H20" s="262"/>
      <c r="I20" s="262"/>
      <c r="J20" s="263"/>
    </row>
    <row r="21" spans="1:10" x14ac:dyDescent="0.25">
      <c r="A21" s="32">
        <v>2017</v>
      </c>
      <c r="B21" s="5"/>
      <c r="C21" s="5"/>
      <c r="D21" s="30">
        <v>17665652.760000002</v>
      </c>
      <c r="E21" s="5"/>
      <c r="F21" s="5"/>
      <c r="G21" s="5"/>
      <c r="H21" s="5"/>
      <c r="I21" s="5"/>
      <c r="J21" s="16">
        <f t="shared" ref="J21:J24" si="1">SUM(D21:I21)</f>
        <v>17665652.760000002</v>
      </c>
    </row>
    <row r="22" spans="1:10" x14ac:dyDescent="0.25">
      <c r="A22" s="32">
        <v>2018</v>
      </c>
      <c r="B22" s="5"/>
      <c r="C22" s="5"/>
      <c r="D22" s="30">
        <v>14971802.300000001</v>
      </c>
      <c r="E22" s="5"/>
      <c r="F22" s="5"/>
      <c r="G22" s="5"/>
      <c r="H22" s="5"/>
      <c r="I22" s="5"/>
      <c r="J22" s="16">
        <f t="shared" si="1"/>
        <v>14971802.300000001</v>
      </c>
    </row>
    <row r="23" spans="1:10" x14ac:dyDescent="0.25">
      <c r="A23" s="32">
        <v>2019</v>
      </c>
      <c r="B23" s="5"/>
      <c r="C23" s="5"/>
      <c r="D23" s="30">
        <v>14578191.91</v>
      </c>
      <c r="E23" s="5"/>
      <c r="F23" s="5"/>
      <c r="G23" s="5"/>
      <c r="H23" s="5"/>
      <c r="I23" s="5"/>
      <c r="J23" s="16">
        <f t="shared" si="1"/>
        <v>14578191.91</v>
      </c>
    </row>
    <row r="24" spans="1:10" x14ac:dyDescent="0.25">
      <c r="A24" s="32">
        <v>2020</v>
      </c>
      <c r="B24" s="5"/>
      <c r="C24" s="5"/>
      <c r="D24" s="30">
        <v>15096527.83</v>
      </c>
      <c r="E24" s="5"/>
      <c r="F24" s="5"/>
      <c r="G24" s="5"/>
      <c r="H24" s="5"/>
      <c r="I24" s="5"/>
      <c r="J24" s="16">
        <f t="shared" si="1"/>
        <v>15096527.83</v>
      </c>
    </row>
    <row r="25" spans="1:10" ht="18.75" x14ac:dyDescent="0.3">
      <c r="A25" s="264" t="s">
        <v>220</v>
      </c>
      <c r="B25" s="265"/>
      <c r="C25" s="265"/>
      <c r="D25" s="325">
        <f>'Rate Class Energy Model'!D25</f>
        <v>0.98982997195009736</v>
      </c>
      <c r="E25" s="265"/>
      <c r="F25" s="265"/>
      <c r="G25" s="265"/>
      <c r="H25" s="265"/>
      <c r="I25" s="265"/>
      <c r="J25" s="266"/>
    </row>
    <row r="26" spans="1:10" x14ac:dyDescent="0.25">
      <c r="A26" s="32"/>
      <c r="B26" s="3"/>
      <c r="C26" s="3"/>
      <c r="E26" s="3"/>
      <c r="F26" s="3"/>
      <c r="G26" s="3"/>
      <c r="H26" s="3"/>
      <c r="I26" s="3"/>
      <c r="J26" s="10"/>
    </row>
    <row r="27" spans="1:10" ht="18.75" x14ac:dyDescent="0.3">
      <c r="A27" s="264" t="s">
        <v>66</v>
      </c>
      <c r="B27" s="265"/>
      <c r="C27" s="265"/>
      <c r="D27" s="265"/>
      <c r="E27" s="265"/>
      <c r="F27" s="265"/>
      <c r="G27" s="265"/>
      <c r="H27" s="265"/>
      <c r="I27" s="265"/>
      <c r="J27" s="266"/>
    </row>
    <row r="28" spans="1:10" x14ac:dyDescent="0.25">
      <c r="A28" s="32">
        <v>2021</v>
      </c>
      <c r="B28" s="5"/>
      <c r="C28" s="5"/>
      <c r="D28" s="5">
        <f>D24*D25</f>
        <v>14942995.718512764</v>
      </c>
      <c r="E28" s="5"/>
      <c r="F28" s="5"/>
      <c r="G28" s="5"/>
      <c r="H28" s="5"/>
      <c r="I28" s="5"/>
      <c r="J28" s="16">
        <f>SUM(B28:I28)</f>
        <v>14942995.718512764</v>
      </c>
    </row>
    <row r="29" spans="1:10" x14ac:dyDescent="0.25">
      <c r="A29" s="34">
        <v>2022</v>
      </c>
      <c r="B29" s="17"/>
      <c r="C29" s="17"/>
      <c r="D29" s="17">
        <f>D28*D25</f>
        <v>14791025.032905914</v>
      </c>
      <c r="E29" s="17"/>
      <c r="F29" s="17"/>
      <c r="G29" s="17"/>
      <c r="H29" s="17"/>
      <c r="I29" s="17"/>
      <c r="J29" s="18">
        <f>SUM(B29:I29)</f>
        <v>14791025.032905914</v>
      </c>
    </row>
    <row r="31" spans="1:10" ht="45" x14ac:dyDescent="0.25">
      <c r="A31" s="13" t="s">
        <v>10</v>
      </c>
      <c r="B31" s="14" t="s">
        <v>2</v>
      </c>
      <c r="C31" s="14" t="s">
        <v>3</v>
      </c>
      <c r="D31" s="14" t="s">
        <v>4</v>
      </c>
      <c r="E31" s="14" t="s">
        <v>143</v>
      </c>
      <c r="F31" s="14" t="s">
        <v>5</v>
      </c>
      <c r="G31" s="14" t="s">
        <v>109</v>
      </c>
      <c r="H31" s="14" t="s">
        <v>108</v>
      </c>
      <c r="I31" s="14" t="s">
        <v>107</v>
      </c>
      <c r="J31" s="15" t="s">
        <v>9</v>
      </c>
    </row>
    <row r="32" spans="1:10" ht="18.75" x14ac:dyDescent="0.3">
      <c r="A32" s="261" t="s">
        <v>67</v>
      </c>
      <c r="B32" s="262"/>
      <c r="C32" s="262"/>
      <c r="D32" s="262"/>
      <c r="E32" s="262"/>
      <c r="F32" s="262"/>
      <c r="G32" s="262"/>
      <c r="H32" s="262"/>
      <c r="I32" s="262"/>
      <c r="J32" s="263"/>
    </row>
    <row r="33" spans="1:10" x14ac:dyDescent="0.25">
      <c r="A33" s="32">
        <v>2017</v>
      </c>
      <c r="B33" s="5"/>
      <c r="C33" s="5"/>
      <c r="D33" s="5">
        <v>29977.91</v>
      </c>
      <c r="E33" s="5"/>
      <c r="F33" s="5"/>
      <c r="G33" s="5"/>
      <c r="H33" s="5"/>
      <c r="I33" s="5"/>
      <c r="J33" s="16">
        <f t="shared" ref="J33:J36" si="2">SUM(B33:I33)</f>
        <v>29977.91</v>
      </c>
    </row>
    <row r="34" spans="1:10" x14ac:dyDescent="0.25">
      <c r="A34" s="32">
        <v>2018</v>
      </c>
      <c r="B34" s="5"/>
      <c r="C34" s="5"/>
      <c r="D34" s="5">
        <v>28511.5</v>
      </c>
      <c r="E34" s="5"/>
      <c r="F34" s="5"/>
      <c r="G34" s="5"/>
      <c r="H34" s="5"/>
      <c r="I34" s="5"/>
      <c r="J34" s="16">
        <f t="shared" si="2"/>
        <v>28511.5</v>
      </c>
    </row>
    <row r="35" spans="1:10" x14ac:dyDescent="0.25">
      <c r="A35" s="32">
        <v>2019</v>
      </c>
      <c r="B35" s="5"/>
      <c r="C35" s="5"/>
      <c r="D35" s="5">
        <v>26585.78</v>
      </c>
      <c r="E35" s="5"/>
      <c r="F35" s="5"/>
      <c r="G35" s="5"/>
      <c r="H35" s="5"/>
      <c r="I35" s="5"/>
      <c r="J35" s="16">
        <f t="shared" si="2"/>
        <v>26585.78</v>
      </c>
    </row>
    <row r="36" spans="1:10" x14ac:dyDescent="0.25">
      <c r="A36" s="32">
        <v>2020</v>
      </c>
      <c r="B36" s="5"/>
      <c r="C36" s="5"/>
      <c r="D36" s="5">
        <v>29024.55</v>
      </c>
      <c r="E36" s="5"/>
      <c r="F36" s="5"/>
      <c r="G36" s="5"/>
      <c r="H36" s="5"/>
      <c r="I36" s="5"/>
      <c r="J36" s="16">
        <f t="shared" si="2"/>
        <v>29024.55</v>
      </c>
    </row>
    <row r="37" spans="1:10" ht="18.75" x14ac:dyDescent="0.3">
      <c r="A37" s="264" t="s">
        <v>68</v>
      </c>
      <c r="B37" s="265"/>
      <c r="C37" s="265"/>
      <c r="D37" s="265"/>
      <c r="E37" s="265"/>
      <c r="F37" s="265"/>
      <c r="G37" s="265"/>
      <c r="H37" s="265"/>
      <c r="I37" s="265"/>
      <c r="J37" s="266"/>
    </row>
    <row r="38" spans="1:10" x14ac:dyDescent="0.25">
      <c r="A38" s="32">
        <v>2017</v>
      </c>
      <c r="B38" s="3"/>
      <c r="C38" s="3"/>
      <c r="D38" s="71">
        <f>D33/D21</f>
        <v>1.69696022033663E-3</v>
      </c>
      <c r="E38" s="3"/>
      <c r="F38" s="3"/>
      <c r="G38" s="3"/>
      <c r="H38" s="3"/>
      <c r="I38" s="3"/>
      <c r="J38" s="10"/>
    </row>
    <row r="39" spans="1:10" x14ac:dyDescent="0.25">
      <c r="A39" s="32">
        <v>2018</v>
      </c>
      <c r="B39" s="3"/>
      <c r="C39" s="3"/>
      <c r="D39" s="71">
        <f>D34/D22</f>
        <v>1.9043465461736693E-3</v>
      </c>
      <c r="E39" s="3"/>
      <c r="F39" s="3"/>
      <c r="G39" s="3"/>
      <c r="H39" s="3"/>
      <c r="I39" s="3"/>
      <c r="J39" s="10"/>
    </row>
    <row r="40" spans="1:10" x14ac:dyDescent="0.25">
      <c r="A40" s="32">
        <v>2019</v>
      </c>
      <c r="B40" s="3"/>
      <c r="C40" s="3"/>
      <c r="D40" s="71">
        <f>D35/D23</f>
        <v>1.8236678570381091E-3</v>
      </c>
      <c r="E40" s="3"/>
      <c r="F40" s="3"/>
      <c r="G40" s="3"/>
      <c r="H40" s="3"/>
      <c r="I40" s="3"/>
      <c r="J40" s="10"/>
    </row>
    <row r="41" spans="1:10" x14ac:dyDescent="0.25">
      <c r="A41" s="32">
        <v>2020</v>
      </c>
      <c r="B41" s="3"/>
      <c r="C41" s="3"/>
      <c r="D41" s="71">
        <f>D36/D24</f>
        <v>1.9225977209356756E-3</v>
      </c>
      <c r="E41" s="3"/>
      <c r="F41" s="3"/>
      <c r="G41" s="3"/>
      <c r="H41" s="3"/>
      <c r="I41" s="3"/>
      <c r="J41" s="10"/>
    </row>
    <row r="42" spans="1:10" ht="18.75" x14ac:dyDescent="0.3">
      <c r="A42" s="264" t="s">
        <v>236</v>
      </c>
      <c r="B42" s="265"/>
      <c r="C42" s="265"/>
      <c r="D42" s="325">
        <f>AVERAGE(D38:D41)</f>
        <v>1.8368930861210209E-3</v>
      </c>
      <c r="E42" s="265"/>
      <c r="F42" s="265"/>
      <c r="G42" s="265"/>
      <c r="H42" s="265"/>
      <c r="I42" s="265"/>
      <c r="J42" s="266"/>
    </row>
    <row r="44" spans="1:10" ht="18.75" x14ac:dyDescent="0.3">
      <c r="A44" s="264" t="s">
        <v>69</v>
      </c>
      <c r="B44" s="265"/>
      <c r="C44" s="265"/>
      <c r="D44" s="265"/>
      <c r="E44" s="265"/>
      <c r="F44" s="265"/>
      <c r="G44" s="265"/>
      <c r="H44" s="265"/>
      <c r="I44" s="265"/>
      <c r="J44" s="266"/>
    </row>
    <row r="45" spans="1:10" x14ac:dyDescent="0.25">
      <c r="A45" s="32">
        <v>2021</v>
      </c>
      <c r="B45" s="5"/>
      <c r="C45" s="5"/>
      <c r="D45" s="5">
        <f>D28*D42</f>
        <v>27448.685521272113</v>
      </c>
      <c r="E45" s="5"/>
      <c r="F45" s="5"/>
      <c r="G45" s="5"/>
      <c r="H45" s="5"/>
      <c r="I45" s="5"/>
      <c r="J45" s="16">
        <f>SUM(B45:I45)</f>
        <v>27448.685521272113</v>
      </c>
    </row>
    <row r="46" spans="1:10" x14ac:dyDescent="0.25">
      <c r="A46" s="34">
        <v>2022</v>
      </c>
      <c r="B46" s="17"/>
      <c r="C46" s="17"/>
      <c r="D46" s="17">
        <f>D29*D42</f>
        <v>27169.531619587819</v>
      </c>
      <c r="E46" s="17"/>
      <c r="F46" s="17"/>
      <c r="G46" s="17"/>
      <c r="H46" s="17"/>
      <c r="I46" s="17"/>
      <c r="J46" s="18">
        <f>SUM(B46:I46)</f>
        <v>27169.531619587819</v>
      </c>
    </row>
  </sheetData>
  <pageMargins left="0.7" right="0.7" top="0.75" bottom="0.75" header="0.3" footer="0.3"/>
  <pageSetup scale="80" fitToHeight="2" orientation="landscape"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S52"/>
  <sheetViews>
    <sheetView showGridLines="0" zoomScale="90" zoomScaleNormal="90" workbookViewId="0">
      <pane xSplit="1" ySplit="8" topLeftCell="B9" activePane="bottomRight" state="frozen"/>
      <selection activeCell="A2" sqref="A2"/>
      <selection pane="topRight" activeCell="A2" sqref="A2"/>
      <selection pane="bottomLeft" activeCell="A2" sqref="A2"/>
      <selection pane="bottomRight" activeCell="O25" sqref="O25"/>
    </sheetView>
  </sheetViews>
  <sheetFormatPr defaultRowHeight="15" x14ac:dyDescent="0.25"/>
  <cols>
    <col min="1" max="1" width="23.42578125" customWidth="1"/>
    <col min="2" max="2" width="17.7109375" bestFit="1" customWidth="1"/>
    <col min="3" max="3" width="16.140625" bestFit="1" customWidth="1"/>
    <col min="4" max="4" width="17.7109375" bestFit="1" customWidth="1"/>
    <col min="5" max="5" width="12.7109375" customWidth="1"/>
    <col min="6" max="6" width="16.140625" bestFit="1" customWidth="1"/>
    <col min="7" max="7" width="15" bestFit="1" customWidth="1"/>
    <col min="8" max="9" width="12.7109375" customWidth="1"/>
    <col min="10" max="10" width="14.7109375" customWidth="1"/>
    <col min="11" max="11" width="16.85546875" bestFit="1" customWidth="1"/>
    <col min="14" max="18" width="17.7109375" style="332" bestFit="1" customWidth="1"/>
    <col min="19" max="19" width="16.140625" style="332" bestFit="1" customWidth="1"/>
  </cols>
  <sheetData>
    <row r="1" spans="1:19" ht="18.75" x14ac:dyDescent="0.3">
      <c r="A1" s="24" t="str">
        <f>Admin!B3</f>
        <v>London Hydro</v>
      </c>
      <c r="B1" s="25"/>
      <c r="C1" s="25"/>
      <c r="D1" s="25"/>
      <c r="E1" s="25"/>
      <c r="F1" s="25"/>
      <c r="G1" s="25"/>
      <c r="H1" s="25"/>
      <c r="I1" s="25"/>
      <c r="J1" s="25"/>
    </row>
    <row r="2" spans="1:19" ht="18.75" x14ac:dyDescent="0.3">
      <c r="A2" s="24" t="str">
        <f>Admin!B5</f>
        <v>EB-2021-0041</v>
      </c>
      <c r="B2" s="25"/>
      <c r="C2" s="25"/>
      <c r="D2" s="25"/>
      <c r="E2" s="25"/>
      <c r="F2" s="25"/>
      <c r="G2" s="25"/>
      <c r="H2" s="25"/>
      <c r="I2" s="25"/>
      <c r="J2" s="25"/>
    </row>
    <row r="3" spans="1:19" ht="18.75" x14ac:dyDescent="0.3">
      <c r="A3" s="24" t="str">
        <f>Admin!B7</f>
        <v>2022 Load Forecast</v>
      </c>
      <c r="B3" s="25"/>
      <c r="C3" s="25"/>
      <c r="D3" s="25"/>
      <c r="E3" s="25"/>
      <c r="F3" s="25"/>
      <c r="G3" s="25"/>
      <c r="H3" s="25"/>
      <c r="I3" s="25"/>
      <c r="J3" s="25"/>
    </row>
    <row r="4" spans="1:19" ht="18.75" x14ac:dyDescent="0.3">
      <c r="A4" s="24"/>
      <c r="B4" s="25"/>
      <c r="C4" s="25"/>
      <c r="D4" s="25"/>
      <c r="E4" s="25"/>
      <c r="F4" s="25"/>
      <c r="G4" s="25"/>
      <c r="H4" s="25"/>
      <c r="I4" s="25"/>
      <c r="J4" s="25"/>
    </row>
    <row r="5" spans="1:19" ht="19.5" thickBot="1" x14ac:dyDescent="0.35">
      <c r="A5" s="26" t="s">
        <v>42</v>
      </c>
      <c r="B5" s="27"/>
      <c r="C5" s="27"/>
      <c r="D5" s="27"/>
      <c r="E5" s="27"/>
      <c r="F5" s="27"/>
      <c r="G5" s="27"/>
      <c r="H5" s="27"/>
      <c r="I5" s="27"/>
      <c r="J5" s="27"/>
    </row>
    <row r="7" spans="1:19" ht="45" x14ac:dyDescent="0.25">
      <c r="A7" s="13" t="s">
        <v>10</v>
      </c>
      <c r="B7" s="14" t="s">
        <v>2</v>
      </c>
      <c r="C7" s="14" t="s">
        <v>3</v>
      </c>
      <c r="D7" s="14" t="s">
        <v>4</v>
      </c>
      <c r="E7" s="14" t="s">
        <v>143</v>
      </c>
      <c r="F7" s="14" t="s">
        <v>203</v>
      </c>
      <c r="G7" s="14" t="s">
        <v>109</v>
      </c>
      <c r="H7" s="14" t="s">
        <v>108</v>
      </c>
      <c r="I7" s="14" t="s">
        <v>107</v>
      </c>
      <c r="J7" s="15" t="s">
        <v>9</v>
      </c>
    </row>
    <row r="8" spans="1:19" ht="18.75" customHeight="1" x14ac:dyDescent="0.3">
      <c r="A8" s="241" t="s">
        <v>145</v>
      </c>
      <c r="B8" s="242"/>
      <c r="C8" s="242"/>
      <c r="D8" s="242"/>
      <c r="E8" s="242"/>
      <c r="F8" s="242"/>
      <c r="G8" s="242"/>
      <c r="H8" s="242"/>
      <c r="I8" s="242"/>
      <c r="J8" s="243"/>
    </row>
    <row r="9" spans="1:19" ht="15" customHeight="1" x14ac:dyDescent="0.25">
      <c r="A9" s="23">
        <v>2016</v>
      </c>
      <c r="B9" s="5">
        <v>1090996379.2</v>
      </c>
      <c r="C9" s="5">
        <v>393919990</v>
      </c>
      <c r="D9" s="5">
        <v>1481119682.9000001</v>
      </c>
      <c r="E9" s="5">
        <v>49560447</v>
      </c>
      <c r="F9" s="5">
        <v>132844272</v>
      </c>
      <c r="G9" s="5">
        <v>21678933</v>
      </c>
      <c r="H9" s="5">
        <v>713687</v>
      </c>
      <c r="I9" s="5">
        <v>5610879</v>
      </c>
      <c r="J9" s="9">
        <f t="shared" ref="J9:J13" si="0">SUM(B9:I9)</f>
        <v>3176444270.1000004</v>
      </c>
    </row>
    <row r="10" spans="1:19" ht="15" customHeight="1" x14ac:dyDescent="0.25">
      <c r="A10" s="22">
        <v>2017</v>
      </c>
      <c r="B10" s="5">
        <v>1041232119</v>
      </c>
      <c r="C10" s="5">
        <v>384261420</v>
      </c>
      <c r="D10" s="5">
        <v>1456743101</v>
      </c>
      <c r="E10" s="5">
        <v>44968462</v>
      </c>
      <c r="F10" s="5">
        <v>117005431</v>
      </c>
      <c r="G10" s="5">
        <v>20022458</v>
      </c>
      <c r="H10" s="5">
        <v>592608</v>
      </c>
      <c r="I10" s="5">
        <v>5549550</v>
      </c>
      <c r="J10" s="9">
        <f t="shared" si="0"/>
        <v>3070375149</v>
      </c>
      <c r="N10" s="334"/>
      <c r="O10" s="334"/>
      <c r="P10" s="334"/>
      <c r="Q10" s="334"/>
      <c r="R10" s="334"/>
      <c r="S10"/>
    </row>
    <row r="11" spans="1:19" ht="15" customHeight="1" x14ac:dyDescent="0.25">
      <c r="A11" s="23">
        <v>2018</v>
      </c>
      <c r="B11" s="5">
        <v>1134273426.7</v>
      </c>
      <c r="C11" s="5">
        <v>396936107.69999999</v>
      </c>
      <c r="D11" s="5">
        <v>1497045852.3999999</v>
      </c>
      <c r="E11" s="5">
        <v>48833253</v>
      </c>
      <c r="F11" s="5">
        <v>116791074</v>
      </c>
      <c r="G11" s="5">
        <v>15903208</v>
      </c>
      <c r="H11" s="5">
        <v>550596.4</v>
      </c>
      <c r="I11" s="5">
        <v>5496547</v>
      </c>
      <c r="J11" s="9">
        <f t="shared" si="0"/>
        <v>3215830065.2000003</v>
      </c>
      <c r="S11"/>
    </row>
    <row r="12" spans="1:19" ht="15" customHeight="1" x14ac:dyDescent="0.25">
      <c r="A12" s="22">
        <v>2019</v>
      </c>
      <c r="B12" s="5">
        <v>1099830560.04</v>
      </c>
      <c r="C12" s="5">
        <v>395444421.75</v>
      </c>
      <c r="D12" s="5">
        <v>1456298256</v>
      </c>
      <c r="E12" s="5">
        <v>35020139.149999999</v>
      </c>
      <c r="F12" s="5">
        <v>110801180.53</v>
      </c>
      <c r="G12" s="5">
        <v>16623912.16</v>
      </c>
      <c r="H12" s="5">
        <v>541972.80000000005</v>
      </c>
      <c r="I12" s="5">
        <v>5501897.5099999998</v>
      </c>
      <c r="J12" s="9">
        <f t="shared" si="0"/>
        <v>3120062339.9400005</v>
      </c>
      <c r="S12"/>
    </row>
    <row r="13" spans="1:19" ht="15" customHeight="1" x14ac:dyDescent="0.25">
      <c r="A13" s="23">
        <v>2020</v>
      </c>
      <c r="B13" s="5">
        <v>1174570750.6599998</v>
      </c>
      <c r="C13" s="5">
        <v>374492024.29000002</v>
      </c>
      <c r="D13" s="5">
        <v>1371744686.8099999</v>
      </c>
      <c r="E13" s="5">
        <v>36277790.609999999</v>
      </c>
      <c r="F13" s="5">
        <v>103009408.48</v>
      </c>
      <c r="G13" s="5">
        <v>16908317.239999998</v>
      </c>
      <c r="H13" s="5">
        <v>534360.19000000006</v>
      </c>
      <c r="I13" s="5">
        <v>5417919.1600000001</v>
      </c>
      <c r="J13" s="9">
        <f t="shared" si="0"/>
        <v>3082955257.4399996</v>
      </c>
      <c r="S13"/>
    </row>
    <row r="14" spans="1:19" ht="18.75" x14ac:dyDescent="0.3">
      <c r="A14" s="241" t="s">
        <v>39</v>
      </c>
      <c r="B14" s="242"/>
      <c r="C14" s="242"/>
      <c r="D14" s="242"/>
      <c r="E14" s="242"/>
      <c r="F14" s="242"/>
      <c r="G14" s="242"/>
      <c r="H14" s="242"/>
      <c r="I14" s="242"/>
      <c r="J14" s="243"/>
      <c r="S14"/>
    </row>
    <row r="15" spans="1:19" x14ac:dyDescent="0.25">
      <c r="A15" s="22">
        <v>2016</v>
      </c>
      <c r="B15" s="5">
        <f>IFERROR(ROUND(B9/'Rate Class Customer Model'!B9,0),0)</f>
        <v>7757</v>
      </c>
      <c r="C15" s="5">
        <f>IFERROR(ROUND(C9/'Rate Class Customer Model'!C9,0),0)</f>
        <v>31418</v>
      </c>
      <c r="D15" s="5">
        <f>IFERROR(ROUND(D9/'Rate Class Customer Model'!D9,0),0)</f>
        <v>931522</v>
      </c>
      <c r="E15" s="5">
        <f>IFERROR(ROUND(E9/'Rate Class Customer Model'!E9,0),0)</f>
        <v>8260075</v>
      </c>
      <c r="F15" s="5">
        <f>IFERROR(ROUND(F9/'Rate Class Customer Model'!F9,0),0)</f>
        <v>132844272</v>
      </c>
      <c r="G15" s="5">
        <f>IFERROR(ROUND(G9/'Rate Class Customer Model'!G9,0),0)</f>
        <v>607</v>
      </c>
      <c r="H15" s="5">
        <f>IFERROR(ROUND(H9/'Rate Class Customer Model'!H9,0),0)</f>
        <v>1151</v>
      </c>
      <c r="I15" s="5">
        <f>IFERROR(ROUND(I9/'Rate Class Customer Model'!I9,0),0)</f>
        <v>3689</v>
      </c>
      <c r="J15" s="16"/>
      <c r="S15"/>
    </row>
    <row r="16" spans="1:19" x14ac:dyDescent="0.25">
      <c r="A16" s="22">
        <v>2017</v>
      </c>
      <c r="B16" s="5">
        <f>IFERROR(ROUND(B10/'Rate Class Customer Model'!B10,0),0)</f>
        <v>7322</v>
      </c>
      <c r="C16" s="5">
        <f>IFERROR(ROUND(C10/'Rate Class Customer Model'!C10,0),0)</f>
        <v>30558</v>
      </c>
      <c r="D16" s="5">
        <f>IFERROR(ROUND(D10/'Rate Class Customer Model'!D10,0),0)</f>
        <v>911604</v>
      </c>
      <c r="E16" s="5">
        <f>IFERROR(ROUND(E10/'Rate Class Customer Model'!E10,0),0)</f>
        <v>7494744</v>
      </c>
      <c r="F16" s="5">
        <f>IFERROR(ROUND(F10/'Rate Class Customer Model'!F10,0),0)</f>
        <v>117005431</v>
      </c>
      <c r="G16" s="5">
        <f>IFERROR(ROUND(G10/'Rate Class Customer Model'!G10,0),0)</f>
        <v>553</v>
      </c>
      <c r="H16" s="5">
        <f>IFERROR(ROUND(H10/'Rate Class Customer Model'!H10,0),0)</f>
        <v>1015</v>
      </c>
      <c r="I16" s="5">
        <f>IFERROR(ROUND(I10/'Rate Class Customer Model'!I10,0),0)</f>
        <v>3663</v>
      </c>
      <c r="J16" s="16"/>
    </row>
    <row r="17" spans="1:18" x14ac:dyDescent="0.25">
      <c r="A17" s="22">
        <v>2018</v>
      </c>
      <c r="B17" s="5">
        <f>IFERROR(ROUND(B11/'Rate Class Customer Model'!B11,0),0)</f>
        <v>7881</v>
      </c>
      <c r="C17" s="5">
        <f>IFERROR(ROUND(C11/'Rate Class Customer Model'!C11,0),0)</f>
        <v>31418</v>
      </c>
      <c r="D17" s="5">
        <f>IFERROR(ROUND(D11/'Rate Class Customer Model'!D11,0),0)</f>
        <v>926963</v>
      </c>
      <c r="E17" s="5">
        <f>IFERROR(ROUND(E11/'Rate Class Customer Model'!E11,0),0)</f>
        <v>6976179</v>
      </c>
      <c r="F17" s="5">
        <f>IFERROR(ROUND(F11/'Rate Class Customer Model'!F11,0),0)</f>
        <v>116791074</v>
      </c>
      <c r="G17" s="5">
        <f>IFERROR(ROUND(G11/'Rate Class Customer Model'!G11,0),0)</f>
        <v>432</v>
      </c>
      <c r="H17" s="5">
        <f>IFERROR(ROUND(H11/'Rate Class Customer Model'!H11,0),0)</f>
        <v>1020</v>
      </c>
      <c r="I17" s="5">
        <f>IFERROR(ROUND(I11/'Rate Class Customer Model'!I11,0),0)</f>
        <v>3611</v>
      </c>
      <c r="J17" s="16"/>
    </row>
    <row r="18" spans="1:18" x14ac:dyDescent="0.25">
      <c r="A18" s="22">
        <v>2019</v>
      </c>
      <c r="B18" s="5">
        <f>IFERROR(ROUND(B12/'Rate Class Customer Model'!B12,0),0)</f>
        <v>7558</v>
      </c>
      <c r="C18" s="5">
        <f>IFERROR(ROUND(C12/'Rate Class Customer Model'!C12,0),0)</f>
        <v>30964</v>
      </c>
      <c r="D18" s="5">
        <f>IFERROR(ROUND(D12/'Rate Class Customer Model'!D12,0),0)</f>
        <v>926398</v>
      </c>
      <c r="E18" s="5">
        <f>IFERROR(ROUND(E12/'Rate Class Customer Model'!E12,0),0)</f>
        <v>5002877</v>
      </c>
      <c r="F18" s="5">
        <f>IFERROR(ROUND(F12/'Rate Class Customer Model'!F12,0),0)</f>
        <v>110801181</v>
      </c>
      <c r="G18" s="5">
        <f>IFERROR(ROUND(G12/'Rate Class Customer Model'!G12,0),0)</f>
        <v>448</v>
      </c>
      <c r="H18" s="5">
        <f>IFERROR(ROUND(H12/'Rate Class Customer Model'!H12,0),0)</f>
        <v>1032</v>
      </c>
      <c r="I18" s="5">
        <f>IFERROR(ROUND(I12/'Rate Class Customer Model'!I12,0),0)</f>
        <v>3566</v>
      </c>
      <c r="J18" s="16"/>
    </row>
    <row r="19" spans="1:18" x14ac:dyDescent="0.25">
      <c r="A19" s="22">
        <v>2020</v>
      </c>
      <c r="B19" s="5">
        <f>IFERROR(ROUND(B13/'Rate Class Customer Model'!B13,0),0)</f>
        <v>7992</v>
      </c>
      <c r="C19" s="5">
        <f>IFERROR(ROUND(C13/'Rate Class Customer Model'!C13,0),0)</f>
        <v>29051</v>
      </c>
      <c r="D19" s="5">
        <f>IFERROR(ROUND(D13/'Rate Class Customer Model'!D13,0),0)</f>
        <v>894227</v>
      </c>
      <c r="E19" s="5">
        <f>IFERROR(ROUND(E13/'Rate Class Customer Model'!E13,0),0)</f>
        <v>4534724</v>
      </c>
      <c r="F19" s="5">
        <f>IFERROR(ROUND(F13/'Rate Class Customer Model'!F13,0),0)</f>
        <v>103009408</v>
      </c>
      <c r="G19" s="5">
        <f>IFERROR(ROUND(G13/'Rate Class Customer Model'!G13,0),0)</f>
        <v>447</v>
      </c>
      <c r="H19" s="5">
        <f>IFERROR(ROUND(H13/'Rate Class Customer Model'!H13,0),0)</f>
        <v>1028</v>
      </c>
      <c r="I19" s="5">
        <f>IFERROR(ROUND(I13/'Rate Class Customer Model'!I13,0),0)</f>
        <v>3534</v>
      </c>
      <c r="J19" s="16"/>
    </row>
    <row r="20" spans="1:18" ht="18.75" x14ac:dyDescent="0.3">
      <c r="A20" s="241" t="s">
        <v>38</v>
      </c>
      <c r="B20" s="242"/>
      <c r="C20" s="242"/>
      <c r="D20" s="242"/>
      <c r="E20" s="242"/>
      <c r="F20" s="242"/>
      <c r="G20" s="242"/>
      <c r="H20" s="242"/>
      <c r="I20" s="242"/>
      <c r="J20" s="243"/>
    </row>
    <row r="21" spans="1:18" x14ac:dyDescent="0.25">
      <c r="A21" s="60">
        <v>2017</v>
      </c>
      <c r="B21" s="62">
        <f t="shared" ref="B21:I24" si="1">IFERROR(ROUND(B16/B15,4),0)</f>
        <v>0.94389999999999996</v>
      </c>
      <c r="C21" s="62">
        <f t="shared" si="1"/>
        <v>0.97260000000000002</v>
      </c>
      <c r="D21" s="62">
        <f t="shared" si="1"/>
        <v>0.97860000000000003</v>
      </c>
      <c r="E21" s="62">
        <f t="shared" si="1"/>
        <v>0.9073</v>
      </c>
      <c r="F21" s="62">
        <f t="shared" si="1"/>
        <v>0.88080000000000003</v>
      </c>
      <c r="G21" s="62">
        <f t="shared" si="1"/>
        <v>0.91100000000000003</v>
      </c>
      <c r="H21" s="62">
        <f t="shared" si="1"/>
        <v>0.88180000000000003</v>
      </c>
      <c r="I21" s="62">
        <f t="shared" si="1"/>
        <v>0.99299999999999999</v>
      </c>
      <c r="J21" s="19"/>
    </row>
    <row r="22" spans="1:18" x14ac:dyDescent="0.25">
      <c r="A22" s="60">
        <v>2018</v>
      </c>
      <c r="B22" s="62">
        <f t="shared" si="1"/>
        <v>1.0763</v>
      </c>
      <c r="C22" s="62">
        <f t="shared" si="1"/>
        <v>1.0281</v>
      </c>
      <c r="D22" s="62">
        <f t="shared" si="1"/>
        <v>1.0167999999999999</v>
      </c>
      <c r="E22" s="62">
        <f t="shared" si="1"/>
        <v>0.93079999999999996</v>
      </c>
      <c r="F22" s="62">
        <f t="shared" si="1"/>
        <v>0.99819999999999998</v>
      </c>
      <c r="G22" s="62">
        <f t="shared" si="1"/>
        <v>0.78120000000000001</v>
      </c>
      <c r="H22" s="62">
        <f t="shared" si="1"/>
        <v>1.0048999999999999</v>
      </c>
      <c r="I22" s="62">
        <f t="shared" si="1"/>
        <v>0.98580000000000001</v>
      </c>
      <c r="J22" s="19"/>
    </row>
    <row r="23" spans="1:18" x14ac:dyDescent="0.25">
      <c r="A23" s="60">
        <v>2019</v>
      </c>
      <c r="B23" s="62">
        <f t="shared" si="1"/>
        <v>0.95899999999999996</v>
      </c>
      <c r="C23" s="62">
        <f t="shared" si="1"/>
        <v>0.98550000000000004</v>
      </c>
      <c r="D23" s="62">
        <f t="shared" si="1"/>
        <v>0.99939999999999996</v>
      </c>
      <c r="E23" s="62">
        <f t="shared" si="1"/>
        <v>0.71709999999999996</v>
      </c>
      <c r="F23" s="62">
        <f t="shared" si="1"/>
        <v>0.94869999999999999</v>
      </c>
      <c r="G23" s="62">
        <f t="shared" si="1"/>
        <v>1.0369999999999999</v>
      </c>
      <c r="H23" s="62">
        <f t="shared" si="1"/>
        <v>1.0118</v>
      </c>
      <c r="I23" s="62">
        <f t="shared" si="1"/>
        <v>0.98750000000000004</v>
      </c>
      <c r="J23" s="19"/>
    </row>
    <row r="24" spans="1:18" x14ac:dyDescent="0.25">
      <c r="A24" s="60">
        <v>2020</v>
      </c>
      <c r="B24" s="62">
        <f t="shared" si="1"/>
        <v>1.0573999999999999</v>
      </c>
      <c r="C24" s="62">
        <f t="shared" si="1"/>
        <v>0.93820000000000003</v>
      </c>
      <c r="D24" s="62">
        <f t="shared" si="1"/>
        <v>0.96530000000000005</v>
      </c>
      <c r="E24" s="62">
        <f t="shared" si="1"/>
        <v>0.90639999999999998</v>
      </c>
      <c r="F24" s="62">
        <f t="shared" si="1"/>
        <v>0.92969999999999997</v>
      </c>
      <c r="G24" s="62">
        <f t="shared" si="1"/>
        <v>0.99780000000000002</v>
      </c>
      <c r="H24" s="62">
        <f t="shared" si="1"/>
        <v>0.99609999999999999</v>
      </c>
      <c r="I24" s="62">
        <f t="shared" si="1"/>
        <v>0.99099999999999999</v>
      </c>
      <c r="J24" s="19"/>
    </row>
    <row r="25" spans="1:18" x14ac:dyDescent="0.25">
      <c r="A25" s="169" t="s">
        <v>221</v>
      </c>
      <c r="B25" s="86">
        <f t="shared" ref="B25:I25" si="2">GEOMEAN(B21:B24)</f>
        <v>1.0074634747577487</v>
      </c>
      <c r="C25" s="86">
        <f t="shared" si="2"/>
        <v>0.98057410542612888</v>
      </c>
      <c r="D25" s="86">
        <f t="shared" si="2"/>
        <v>0.98982997195009736</v>
      </c>
      <c r="E25" s="86">
        <f t="shared" si="2"/>
        <v>0.86074939517948745</v>
      </c>
      <c r="F25" s="86">
        <f t="shared" si="2"/>
        <v>0.93840789032266925</v>
      </c>
      <c r="G25" s="86">
        <f t="shared" si="2"/>
        <v>0.92635130336028126</v>
      </c>
      <c r="H25" s="86">
        <f t="shared" si="2"/>
        <v>0.97212617965672909</v>
      </c>
      <c r="I25" s="86">
        <f t="shared" si="2"/>
        <v>0.98932094867526454</v>
      </c>
      <c r="J25" s="53"/>
    </row>
    <row r="26" spans="1:18" ht="18.75" x14ac:dyDescent="0.3">
      <c r="A26" s="241" t="s">
        <v>40</v>
      </c>
      <c r="B26" s="242"/>
      <c r="C26" s="242"/>
      <c r="D26" s="242"/>
      <c r="E26" s="242"/>
      <c r="F26" s="242"/>
      <c r="G26" s="242"/>
      <c r="H26" s="242"/>
      <c r="I26" s="242"/>
      <c r="J26" s="243"/>
    </row>
    <row r="27" spans="1:18" x14ac:dyDescent="0.25">
      <c r="A27" s="75">
        <v>2021</v>
      </c>
      <c r="B27" s="37">
        <f t="shared" ref="B27:I27" si="3">ROUND(B19*B25,0)</f>
        <v>8052</v>
      </c>
      <c r="C27" s="37">
        <f t="shared" si="3"/>
        <v>28487</v>
      </c>
      <c r="D27" s="37">
        <f t="shared" si="3"/>
        <v>885133</v>
      </c>
      <c r="E27" s="37">
        <f t="shared" si="3"/>
        <v>3903261</v>
      </c>
      <c r="F27" s="37">
        <f t="shared" si="3"/>
        <v>96664841</v>
      </c>
      <c r="G27" s="37">
        <f t="shared" si="3"/>
        <v>414</v>
      </c>
      <c r="H27" s="37">
        <f t="shared" si="3"/>
        <v>999</v>
      </c>
      <c r="I27" s="37">
        <f t="shared" si="3"/>
        <v>3496</v>
      </c>
      <c r="J27" s="87"/>
    </row>
    <row r="28" spans="1:18" x14ac:dyDescent="0.25">
      <c r="A28" s="23">
        <v>2022</v>
      </c>
      <c r="B28" s="20">
        <f>ROUND(B27*B25,0)</f>
        <v>8112</v>
      </c>
      <c r="C28" s="20">
        <f t="shared" ref="C28:I28" si="4">ROUND(C27*C25,0)</f>
        <v>27934</v>
      </c>
      <c r="D28" s="20">
        <f t="shared" si="4"/>
        <v>876131</v>
      </c>
      <c r="E28" s="20">
        <f t="shared" si="4"/>
        <v>3359730</v>
      </c>
      <c r="F28" s="20">
        <f>ROUND(F27*F25,0)</f>
        <v>90711050</v>
      </c>
      <c r="G28" s="20">
        <f t="shared" si="4"/>
        <v>384</v>
      </c>
      <c r="H28" s="20">
        <f t="shared" si="4"/>
        <v>971</v>
      </c>
      <c r="I28" s="20">
        <f t="shared" si="4"/>
        <v>3459</v>
      </c>
      <c r="J28" s="21"/>
    </row>
    <row r="29" spans="1:18" ht="18.75" x14ac:dyDescent="0.3">
      <c r="A29" s="241" t="s">
        <v>41</v>
      </c>
      <c r="B29" s="242"/>
      <c r="C29" s="242"/>
      <c r="D29" s="242"/>
      <c r="E29" s="242"/>
      <c r="F29" s="242"/>
      <c r="G29" s="242"/>
      <c r="H29" s="242"/>
      <c r="I29" s="242"/>
      <c r="J29" s="243"/>
    </row>
    <row r="30" spans="1:18" x14ac:dyDescent="0.25">
      <c r="A30" s="75">
        <v>2021</v>
      </c>
      <c r="B30" s="43">
        <f>B27*'Rate Class Customer Model'!B27</f>
        <v>1196535758.9529426</v>
      </c>
      <c r="C30" s="43">
        <f>C27*'Rate Class Customer Model'!C27</f>
        <v>369785426.41314304</v>
      </c>
      <c r="D30" s="43">
        <f>D27*'Rate Class Customer Model'!D27</f>
        <v>1345653576.7761858</v>
      </c>
      <c r="E30" s="43">
        <f>E27*'Rate Class Customer Model'!E27</f>
        <v>33555169.498872541</v>
      </c>
      <c r="F30" s="43">
        <f>F27*'Rate Class Customer Model'!F27</f>
        <v>96664841</v>
      </c>
      <c r="G30" s="43">
        <f>G27*'Rate Class Customer Model'!G27</f>
        <v>15876132.043679912</v>
      </c>
      <c r="H30" s="43">
        <f>H27*'Rate Class Customer Model'!H27</f>
        <v>497133.20239277999</v>
      </c>
      <c r="I30" s="43">
        <f>I27*'Rate Class Customer Model'!I27</f>
        <v>5369917.9124142854</v>
      </c>
      <c r="J30" s="44">
        <f>SUM(B30:I30)</f>
        <v>3063937955.7996302</v>
      </c>
    </row>
    <row r="31" spans="1:18" x14ac:dyDescent="0.25">
      <c r="A31" s="23">
        <v>2022</v>
      </c>
      <c r="B31" s="35">
        <f>B28*'Rate Class Customer Model'!B28</f>
        <v>1218771216</v>
      </c>
      <c r="C31" s="35">
        <f>C28*'Rate Class Customer Model'!C28</f>
        <v>365125314</v>
      </c>
      <c r="D31" s="35">
        <f>D28*'Rate Class Customer Model'!D28</f>
        <v>1320329417</v>
      </c>
      <c r="E31" s="35">
        <f>E28*'Rate Class Customer Model'!E28</f>
        <v>30237570</v>
      </c>
      <c r="F31" s="35">
        <f>F28*'Rate Class Customer Model'!F28</f>
        <v>90711050</v>
      </c>
      <c r="G31" s="35">
        <f>G28*'Rate Class Customer Model'!G28</f>
        <v>14936832</v>
      </c>
      <c r="H31" s="35">
        <f>H28*'Rate Class Customer Model'!H28</f>
        <v>462196</v>
      </c>
      <c r="I31" s="35">
        <f>I28*'Rate Class Customer Model'!I28</f>
        <v>5323401</v>
      </c>
      <c r="J31" s="36">
        <f>SUM(B31:I31)</f>
        <v>3045896996</v>
      </c>
    </row>
    <row r="32" spans="1:18" ht="18.75" x14ac:dyDescent="0.3">
      <c r="A32" s="241" t="s">
        <v>57</v>
      </c>
      <c r="B32" s="242"/>
      <c r="C32" s="242"/>
      <c r="D32" s="242"/>
      <c r="E32" s="242"/>
      <c r="F32" s="242"/>
      <c r="G32" s="242"/>
      <c r="H32" s="242"/>
      <c r="I32" s="242"/>
      <c r="J32" s="243"/>
      <c r="M32" s="28"/>
      <c r="N32" s="333"/>
      <c r="O32" s="333"/>
      <c r="P32" s="333"/>
      <c r="Q32" s="333"/>
      <c r="R32" s="333"/>
    </row>
    <row r="33" spans="1:19" x14ac:dyDescent="0.25">
      <c r="A33" s="170" t="s">
        <v>58</v>
      </c>
      <c r="B33" s="171">
        <v>1</v>
      </c>
      <c r="C33" s="171">
        <v>1</v>
      </c>
      <c r="D33" s="172">
        <v>0.76459999999999995</v>
      </c>
      <c r="E33" s="171">
        <v>0.48909999999999998</v>
      </c>
      <c r="F33" s="171">
        <v>0.44429999999999997</v>
      </c>
      <c r="G33" s="171"/>
      <c r="H33" s="171"/>
      <c r="I33" s="171"/>
      <c r="J33" s="173"/>
      <c r="S33" s="333"/>
    </row>
    <row r="34" spans="1:19" s="28" customFormat="1" x14ac:dyDescent="0.25">
      <c r="A34" s="75">
        <v>2021</v>
      </c>
      <c r="B34" s="5">
        <f>B33*B30</f>
        <v>1196535758.9529426</v>
      </c>
      <c r="C34" s="5">
        <f t="shared" ref="C34:I34" si="5">C33*C30</f>
        <v>369785426.41314304</v>
      </c>
      <c r="D34" s="5">
        <f t="shared" si="5"/>
        <v>1028886724.8030715</v>
      </c>
      <c r="E34" s="5">
        <f t="shared" si="5"/>
        <v>16411833.401898559</v>
      </c>
      <c r="F34" s="5">
        <f>F33*F30</f>
        <v>42948188.856299996</v>
      </c>
      <c r="G34" s="5">
        <f t="shared" si="5"/>
        <v>0</v>
      </c>
      <c r="H34" s="5">
        <f t="shared" si="5"/>
        <v>0</v>
      </c>
      <c r="I34" s="5">
        <f t="shared" si="5"/>
        <v>0</v>
      </c>
      <c r="J34" s="16">
        <f>SUM(B34:I34)</f>
        <v>2654567932.4273553</v>
      </c>
      <c r="K34" s="275"/>
      <c r="M34"/>
      <c r="N34" s="332"/>
      <c r="O34" s="332"/>
      <c r="P34" s="332"/>
      <c r="Q34" s="332"/>
      <c r="R34" s="332"/>
      <c r="S34" s="332"/>
    </row>
    <row r="35" spans="1:19" x14ac:dyDescent="0.25">
      <c r="A35" s="23">
        <v>2022</v>
      </c>
      <c r="B35" s="17">
        <f t="shared" ref="B35:I35" si="6">B31*B33</f>
        <v>1218771216</v>
      </c>
      <c r="C35" s="17">
        <f t="shared" si="6"/>
        <v>365125314</v>
      </c>
      <c r="D35" s="17">
        <f t="shared" si="6"/>
        <v>1009523872.2381999</v>
      </c>
      <c r="E35" s="17">
        <f t="shared" si="6"/>
        <v>14789195.487</v>
      </c>
      <c r="F35" s="17">
        <f>F31*F33</f>
        <v>40302919.515000001</v>
      </c>
      <c r="G35" s="17">
        <f t="shared" si="6"/>
        <v>0</v>
      </c>
      <c r="H35" s="17">
        <f t="shared" si="6"/>
        <v>0</v>
      </c>
      <c r="I35" s="17">
        <f t="shared" si="6"/>
        <v>0</v>
      </c>
      <c r="J35" s="18">
        <f>SUM(B35:I35)</f>
        <v>2648512517.2402</v>
      </c>
      <c r="K35" s="2"/>
    </row>
    <row r="36" spans="1:19" ht="18.75" x14ac:dyDescent="0.3">
      <c r="A36" s="241" t="s">
        <v>60</v>
      </c>
      <c r="B36" s="242"/>
      <c r="C36" s="242"/>
      <c r="D36" s="242"/>
      <c r="E36" s="242"/>
      <c r="F36" s="242"/>
      <c r="G36" s="242"/>
      <c r="H36" s="242"/>
      <c r="I36" s="242"/>
      <c r="J36" s="243"/>
    </row>
    <row r="37" spans="1:19" x14ac:dyDescent="0.25">
      <c r="A37" s="174" t="s">
        <v>59</v>
      </c>
      <c r="B37" s="88">
        <f t="shared" ref="B37:I37" si="7">B34/$J$34</f>
        <v>0.4507459554289206</v>
      </c>
      <c r="C37" s="88">
        <f t="shared" si="7"/>
        <v>0.1393015495651711</v>
      </c>
      <c r="D37" s="88">
        <f t="shared" si="7"/>
        <v>0.3875910321354068</v>
      </c>
      <c r="E37" s="88">
        <f t="shared" si="7"/>
        <v>6.1824876287462213E-3</v>
      </c>
      <c r="F37" s="88">
        <f t="shared" si="7"/>
        <v>1.6178975241755399E-2</v>
      </c>
      <c r="G37" s="88">
        <f t="shared" si="7"/>
        <v>0</v>
      </c>
      <c r="H37" s="88">
        <f t="shared" si="7"/>
        <v>0</v>
      </c>
      <c r="I37" s="88">
        <f t="shared" si="7"/>
        <v>0</v>
      </c>
      <c r="J37" s="89">
        <f>SUM(B37:I37)</f>
        <v>1</v>
      </c>
    </row>
    <row r="38" spans="1:19" x14ac:dyDescent="0.25">
      <c r="A38" s="314">
        <v>2021</v>
      </c>
      <c r="B38" s="5">
        <f t="shared" ref="B38:I38" si="8">B37*$J38</f>
        <v>34451710.703595847</v>
      </c>
      <c r="C38" s="5">
        <f t="shared" si="8"/>
        <v>10647187.464200526</v>
      </c>
      <c r="D38" s="5">
        <f t="shared" si="8"/>
        <v>29624612.155932825</v>
      </c>
      <c r="E38" s="5">
        <f t="shared" si="8"/>
        <v>472543.9521946265</v>
      </c>
      <c r="F38" s="5">
        <f t="shared" si="8"/>
        <v>1236602.0544303998</v>
      </c>
      <c r="G38" s="5">
        <f t="shared" si="8"/>
        <v>0</v>
      </c>
      <c r="H38" s="5">
        <f t="shared" si="8"/>
        <v>0</v>
      </c>
      <c r="I38" s="5">
        <f t="shared" si="8"/>
        <v>0</v>
      </c>
      <c r="J38" s="9">
        <f>'Forecast Accuracy'!I13-'Rate Class Energy Model'!J30</f>
        <v>76432656.330354214</v>
      </c>
    </row>
    <row r="39" spans="1:19" x14ac:dyDescent="0.25">
      <c r="A39" s="315" t="s">
        <v>59</v>
      </c>
      <c r="B39" s="29">
        <f t="shared" ref="B39:I39" si="9">B35/$J$35</f>
        <v>0.46017196749743233</v>
      </c>
      <c r="C39" s="29">
        <f t="shared" si="9"/>
        <v>0.13786052043298155</v>
      </c>
      <c r="D39" s="29">
        <f t="shared" si="9"/>
        <v>0.38116635872657412</v>
      </c>
      <c r="E39" s="29">
        <f t="shared" si="9"/>
        <v>5.5839628435702541E-3</v>
      </c>
      <c r="F39" s="29">
        <f t="shared" si="9"/>
        <v>1.5217190499441702E-2</v>
      </c>
      <c r="G39" s="29">
        <f t="shared" si="9"/>
        <v>0</v>
      </c>
      <c r="H39" s="29">
        <f t="shared" si="9"/>
        <v>0</v>
      </c>
      <c r="I39" s="29">
        <f t="shared" si="9"/>
        <v>0</v>
      </c>
      <c r="J39" s="81">
        <f>SUM(B39:I39)</f>
        <v>0.99999999999999989</v>
      </c>
    </row>
    <row r="40" spans="1:19" x14ac:dyDescent="0.25">
      <c r="A40" s="316">
        <v>2022</v>
      </c>
      <c r="B40" s="20">
        <f t="shared" ref="B40:I40" si="10">B39*$J40</f>
        <v>43474109.811132073</v>
      </c>
      <c r="C40" s="20">
        <f t="shared" si="10"/>
        <v>13024181.886865366</v>
      </c>
      <c r="D40" s="20">
        <f t="shared" si="10"/>
        <v>36010164.255998284</v>
      </c>
      <c r="E40" s="20">
        <f t="shared" si="10"/>
        <v>527537.16216755216</v>
      </c>
      <c r="F40" s="20">
        <f t="shared" si="10"/>
        <v>1437623.0138211006</v>
      </c>
      <c r="G40" s="20">
        <f t="shared" si="10"/>
        <v>0</v>
      </c>
      <c r="H40" s="20">
        <f t="shared" si="10"/>
        <v>0</v>
      </c>
      <c r="I40" s="20">
        <f t="shared" si="10"/>
        <v>0</v>
      </c>
      <c r="J40" s="21">
        <f>'Forecast Accuracy'!I14-'Rate Class Energy Model'!J31</f>
        <v>94473616.129984379</v>
      </c>
    </row>
    <row r="41" spans="1:19" ht="18.75" x14ac:dyDescent="0.3">
      <c r="A41" s="241" t="s">
        <v>61</v>
      </c>
      <c r="B41" s="242"/>
      <c r="C41" s="242"/>
      <c r="D41" s="242"/>
      <c r="E41" s="242"/>
      <c r="F41" s="242"/>
      <c r="G41" s="242"/>
      <c r="H41" s="242"/>
      <c r="I41" s="242"/>
      <c r="J41" s="243"/>
      <c r="M41" s="28"/>
      <c r="N41" s="333"/>
      <c r="O41" s="333"/>
      <c r="P41" s="333"/>
      <c r="Q41" s="333"/>
      <c r="R41" s="333"/>
    </row>
    <row r="42" spans="1:19" x14ac:dyDescent="0.25">
      <c r="A42" s="75">
        <v>2021</v>
      </c>
      <c r="B42" s="90">
        <f>B30+B38</f>
        <v>1230987469.6565385</v>
      </c>
      <c r="C42" s="90">
        <f t="shared" ref="C42:I42" si="11">C30+C38</f>
        <v>380432613.87734354</v>
      </c>
      <c r="D42" s="90">
        <f t="shared" si="11"/>
        <v>1375278188.9321187</v>
      </c>
      <c r="E42" s="90">
        <f t="shared" si="11"/>
        <v>34027713.451067165</v>
      </c>
      <c r="F42" s="90">
        <f>F30+F38</f>
        <v>97901443.054430395</v>
      </c>
      <c r="G42" s="90">
        <f t="shared" si="11"/>
        <v>15876132.043679912</v>
      </c>
      <c r="H42" s="90">
        <f t="shared" si="11"/>
        <v>497133.20239277999</v>
      </c>
      <c r="I42" s="90">
        <f t="shared" si="11"/>
        <v>5369917.9124142854</v>
      </c>
      <c r="J42" s="91">
        <f>SUM(B42:I42)</f>
        <v>3140370612.1299844</v>
      </c>
      <c r="M42" s="28"/>
      <c r="N42" s="333"/>
      <c r="O42" s="333"/>
      <c r="P42" s="333"/>
      <c r="Q42" s="333"/>
      <c r="R42" s="333"/>
      <c r="S42" s="333"/>
    </row>
    <row r="43" spans="1:19" s="28" customFormat="1" ht="18.75" customHeight="1" x14ac:dyDescent="0.25">
      <c r="A43" s="23">
        <v>2022</v>
      </c>
      <c r="B43" s="92">
        <f>B31+B40</f>
        <v>1262245325.811132</v>
      </c>
      <c r="C43" s="92">
        <f t="shared" ref="C43:I43" si="12">C31+C40</f>
        <v>378149495.88686538</v>
      </c>
      <c r="D43" s="92">
        <f t="shared" si="12"/>
        <v>1356339581.2559984</v>
      </c>
      <c r="E43" s="92">
        <f t="shared" si="12"/>
        <v>30765107.162167553</v>
      </c>
      <c r="F43" s="92">
        <f>F31+F40</f>
        <v>92148673.013821095</v>
      </c>
      <c r="G43" s="92">
        <f t="shared" si="12"/>
        <v>14936832</v>
      </c>
      <c r="H43" s="92">
        <f t="shared" si="12"/>
        <v>462196</v>
      </c>
      <c r="I43" s="92">
        <f t="shared" si="12"/>
        <v>5323401</v>
      </c>
      <c r="J43" s="93">
        <f>SUM(B43:I43)</f>
        <v>3140370612.1299844</v>
      </c>
      <c r="K43" s="274"/>
      <c r="M43"/>
      <c r="N43" s="332"/>
      <c r="O43" s="332"/>
      <c r="P43" s="332"/>
      <c r="Q43" s="332"/>
      <c r="R43" s="332"/>
      <c r="S43" s="333"/>
    </row>
    <row r="44" spans="1:19" ht="18.75" x14ac:dyDescent="0.3">
      <c r="A44" s="241" t="s">
        <v>119</v>
      </c>
      <c r="B44" s="242"/>
      <c r="C44" s="242"/>
      <c r="D44" s="242"/>
      <c r="E44" s="242"/>
      <c r="F44" s="242"/>
      <c r="G44" s="242"/>
      <c r="H44" s="242"/>
      <c r="I44" s="242"/>
      <c r="J44" s="243"/>
    </row>
    <row r="45" spans="1:19" x14ac:dyDescent="0.25">
      <c r="A45" s="75">
        <v>2021</v>
      </c>
      <c r="B45" s="84"/>
      <c r="C45" s="84"/>
      <c r="D45" s="84">
        <f>WMP!D28</f>
        <v>14942995.718512764</v>
      </c>
      <c r="E45" s="84"/>
      <c r="F45" s="84"/>
      <c r="G45" s="84"/>
      <c r="H45" s="84"/>
      <c r="I45" s="84"/>
      <c r="J45" s="94">
        <f>SUM(B45:I45)</f>
        <v>14942995.718512764</v>
      </c>
    </row>
    <row r="46" spans="1:19" x14ac:dyDescent="0.25">
      <c r="A46" s="23">
        <v>2022</v>
      </c>
      <c r="B46" s="17"/>
      <c r="C46" s="17"/>
      <c r="D46" s="17">
        <f>WMP!D29</f>
        <v>14791025.032905914</v>
      </c>
      <c r="E46" s="17"/>
      <c r="F46" s="17"/>
      <c r="G46" s="17"/>
      <c r="H46" s="17"/>
      <c r="I46" s="17"/>
      <c r="J46" s="18">
        <f>SUM(B46:I46)</f>
        <v>14791025.032905914</v>
      </c>
    </row>
    <row r="47" spans="1:19" ht="18.75" x14ac:dyDescent="0.3">
      <c r="A47" s="241" t="s">
        <v>120</v>
      </c>
      <c r="B47" s="242"/>
      <c r="C47" s="242"/>
      <c r="D47" s="242"/>
      <c r="E47" s="242"/>
      <c r="F47" s="242"/>
      <c r="G47" s="242"/>
      <c r="H47" s="242"/>
      <c r="I47" s="242"/>
      <c r="J47" s="243"/>
      <c r="M47" s="28"/>
      <c r="N47" s="333"/>
      <c r="O47" s="333"/>
      <c r="P47" s="333"/>
      <c r="Q47" s="333"/>
      <c r="R47" s="333"/>
    </row>
    <row r="48" spans="1:19" x14ac:dyDescent="0.25">
      <c r="A48" s="75">
        <v>2021</v>
      </c>
      <c r="B48" s="90">
        <f>B42+B45</f>
        <v>1230987469.6565385</v>
      </c>
      <c r="C48" s="90">
        <f t="shared" ref="C48:I48" si="13">C42+C45</f>
        <v>380432613.87734354</v>
      </c>
      <c r="D48" s="90">
        <f t="shared" si="13"/>
        <v>1390221184.6506314</v>
      </c>
      <c r="E48" s="90">
        <f t="shared" si="13"/>
        <v>34027713.451067165</v>
      </c>
      <c r="F48" s="90">
        <f t="shared" si="13"/>
        <v>97901443.054430395</v>
      </c>
      <c r="G48" s="90">
        <f t="shared" si="13"/>
        <v>15876132.043679912</v>
      </c>
      <c r="H48" s="90">
        <f t="shared" si="13"/>
        <v>497133.20239277999</v>
      </c>
      <c r="I48" s="90">
        <f t="shared" si="13"/>
        <v>5369917.9124142854</v>
      </c>
      <c r="J48" s="95">
        <f>SUM(B48:I48)</f>
        <v>3155313607.8484974</v>
      </c>
      <c r="M48" s="28"/>
      <c r="N48" s="333"/>
      <c r="O48" s="333"/>
      <c r="P48" s="333"/>
      <c r="Q48" s="333"/>
      <c r="R48" s="333"/>
      <c r="S48" s="333"/>
    </row>
    <row r="49" spans="1:19" s="28" customFormat="1" ht="23.25" customHeight="1" x14ac:dyDescent="0.25">
      <c r="A49" s="23">
        <v>2022</v>
      </c>
      <c r="B49" s="92">
        <f>B43+B46</f>
        <v>1262245325.811132</v>
      </c>
      <c r="C49" s="92">
        <f t="shared" ref="C49:I49" si="14">C43+C46</f>
        <v>378149495.88686538</v>
      </c>
      <c r="D49" s="92">
        <f t="shared" si="14"/>
        <v>1371130606.2889042</v>
      </c>
      <c r="E49" s="92">
        <f t="shared" si="14"/>
        <v>30765107.162167553</v>
      </c>
      <c r="F49" s="92">
        <f t="shared" si="14"/>
        <v>92148673.013821095</v>
      </c>
      <c r="G49" s="92">
        <f t="shared" si="14"/>
        <v>14936832</v>
      </c>
      <c r="H49" s="92">
        <f t="shared" si="14"/>
        <v>462196</v>
      </c>
      <c r="I49" s="92">
        <f t="shared" si="14"/>
        <v>5323401</v>
      </c>
      <c r="J49" s="83">
        <f>SUM(B49:I49)</f>
        <v>3155161637.16289</v>
      </c>
      <c r="M49"/>
      <c r="N49" s="332"/>
      <c r="O49" s="332"/>
      <c r="P49" s="332"/>
      <c r="Q49" s="332"/>
      <c r="R49" s="332"/>
      <c r="S49" s="333"/>
    </row>
    <row r="50" spans="1:19" s="28" customFormat="1" ht="23.25" customHeight="1" x14ac:dyDescent="0.3">
      <c r="A50" s="241" t="s">
        <v>188</v>
      </c>
      <c r="B50" s="242"/>
      <c r="C50" s="242"/>
      <c r="D50" s="242"/>
      <c r="E50" s="242"/>
      <c r="F50" s="242"/>
      <c r="G50" s="242"/>
      <c r="H50" s="242"/>
      <c r="I50" s="242"/>
      <c r="J50" s="243"/>
      <c r="M50"/>
      <c r="N50" s="332"/>
      <c r="O50" s="332"/>
      <c r="P50" s="332"/>
      <c r="Q50" s="332"/>
      <c r="R50" s="332"/>
      <c r="S50" s="332"/>
    </row>
    <row r="51" spans="1:19" x14ac:dyDescent="0.25">
      <c r="A51" s="75">
        <v>2021</v>
      </c>
      <c r="B51" s="322">
        <f t="shared" ref="B51:J51" si="15">B48/B13-1</f>
        <v>4.8031775833714319E-2</v>
      </c>
      <c r="C51" s="322">
        <f t="shared" si="15"/>
        <v>1.5863060364519788E-2</v>
      </c>
      <c r="D51" s="322">
        <f t="shared" si="15"/>
        <v>1.3469341648115751E-2</v>
      </c>
      <c r="E51" s="322">
        <f t="shared" si="15"/>
        <v>-6.2023544463388536E-2</v>
      </c>
      <c r="F51" s="322">
        <f t="shared" si="15"/>
        <v>-4.9587367803993865E-2</v>
      </c>
      <c r="G51" s="322">
        <f t="shared" si="15"/>
        <v>-6.1046003671982652E-2</v>
      </c>
      <c r="H51" s="322">
        <f t="shared" si="15"/>
        <v>-6.9666468992048314E-2</v>
      </c>
      <c r="I51" s="322">
        <f t="shared" si="15"/>
        <v>-8.8597201560524086E-3</v>
      </c>
      <c r="J51" s="322">
        <f t="shared" si="15"/>
        <v>2.3470451033591022E-2</v>
      </c>
    </row>
    <row r="52" spans="1:19" x14ac:dyDescent="0.25">
      <c r="A52" s="330">
        <v>2022</v>
      </c>
      <c r="B52" s="323">
        <f>B49/B48-1</f>
        <v>2.5392505549479472E-2</v>
      </c>
      <c r="C52" s="323">
        <f t="shared" ref="C52:J52" si="16">C49/C48-1</f>
        <v>-6.0013729296465312E-3</v>
      </c>
      <c r="D52" s="323">
        <f t="shared" si="16"/>
        <v>-1.3732043916828141E-2</v>
      </c>
      <c r="E52" s="323">
        <f t="shared" si="16"/>
        <v>-9.5880855867419235E-2</v>
      </c>
      <c r="F52" s="323">
        <f t="shared" si="16"/>
        <v>-5.8760829882874455E-2</v>
      </c>
      <c r="G52" s="323">
        <f t="shared" si="16"/>
        <v>-5.9164287692721418E-2</v>
      </c>
      <c r="H52" s="323">
        <f t="shared" si="16"/>
        <v>-7.0277346643961347E-2</v>
      </c>
      <c r="I52" s="323">
        <f t="shared" si="16"/>
        <v>-8.6624997202930931E-3</v>
      </c>
      <c r="J52" s="324">
        <f t="shared" si="16"/>
        <v>-4.8163417173285872E-5</v>
      </c>
    </row>
  </sheetData>
  <pageMargins left="0.7" right="0.7" top="0.75" bottom="0.75" header="0.3" footer="0.3"/>
  <pageSetup scale="78" fitToHeight="2" orientation="landscape" r:id="rId1"/>
  <headerFooter>
    <oddFooter>&amp;R&amp;P/&amp;N</oddFooter>
  </headerFooter>
  <rowBreaks count="1" manualBreakCount="1">
    <brk id="29" max="10" man="1"/>
  </rowBreaks>
  <ignoredErrors>
    <ignoredError sqref="G39:I39 B39:E39"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N29"/>
  <sheetViews>
    <sheetView zoomScale="110" zoomScaleNormal="110" workbookViewId="0">
      <pane xSplit="1" ySplit="7" topLeftCell="B8" activePane="bottomRight" state="frozen"/>
      <selection activeCell="A2" sqref="A2"/>
      <selection pane="topRight" activeCell="A2" sqref="A2"/>
      <selection pane="bottomLeft" activeCell="A2" sqref="A2"/>
      <selection pane="bottomRight" activeCell="C3" sqref="C3"/>
    </sheetView>
  </sheetViews>
  <sheetFormatPr defaultRowHeight="15" x14ac:dyDescent="0.25"/>
  <cols>
    <col min="1" max="1" width="24.28515625" customWidth="1"/>
    <col min="2" max="2" width="11" bestFit="1" customWidth="1"/>
    <col min="3" max="3" width="11.28515625" bestFit="1" customWidth="1"/>
    <col min="4" max="4" width="15.140625" bestFit="1" customWidth="1"/>
    <col min="5" max="5" width="11.5703125" bestFit="1" customWidth="1"/>
    <col min="6" max="6" width="13.28515625" bestFit="1" customWidth="1"/>
    <col min="7" max="8" width="11.5703125" bestFit="1" customWidth="1"/>
    <col min="9" max="9" width="9.5703125" bestFit="1" customWidth="1"/>
    <col min="10" max="10" width="10.5703125" bestFit="1" customWidth="1"/>
    <col min="11" max="11" width="11.5703125" bestFit="1" customWidth="1"/>
    <col min="12" max="12" width="13.28515625" bestFit="1" customWidth="1"/>
  </cols>
  <sheetData>
    <row r="1" spans="1:14" ht="18.75" x14ac:dyDescent="0.3">
      <c r="A1" s="24" t="str">
        <f>Admin!B3</f>
        <v>London Hydro</v>
      </c>
      <c r="B1" s="25"/>
      <c r="C1" s="25"/>
      <c r="D1" s="25"/>
      <c r="E1" s="25"/>
      <c r="F1" s="25"/>
      <c r="G1" s="25"/>
      <c r="H1" s="25"/>
      <c r="I1" s="25"/>
      <c r="J1" s="25"/>
      <c r="K1" s="25"/>
      <c r="L1" s="25"/>
    </row>
    <row r="2" spans="1:14" ht="18.75" x14ac:dyDescent="0.3">
      <c r="A2" s="24" t="str">
        <f>Admin!B5</f>
        <v>EB-2021-0041</v>
      </c>
      <c r="B2" s="25"/>
      <c r="C2" s="25"/>
      <c r="D2" s="25"/>
      <c r="E2" s="25"/>
      <c r="F2" s="25"/>
      <c r="G2" s="25"/>
      <c r="H2" s="25"/>
      <c r="I2" s="25"/>
      <c r="J2" s="25"/>
      <c r="K2" s="25"/>
      <c r="L2" s="25"/>
    </row>
    <row r="3" spans="1:14" ht="18.75" x14ac:dyDescent="0.3">
      <c r="A3" s="24" t="str">
        <f>Admin!B7</f>
        <v>2022 Load Forecast</v>
      </c>
      <c r="B3" s="25"/>
      <c r="C3" s="25"/>
      <c r="D3" s="25"/>
      <c r="E3" s="25"/>
      <c r="F3" s="25"/>
      <c r="G3" s="25"/>
      <c r="H3" s="25"/>
      <c r="I3" s="25"/>
      <c r="J3" s="25"/>
      <c r="K3" s="25"/>
      <c r="L3" s="25"/>
    </row>
    <row r="4" spans="1:14" ht="18.75" x14ac:dyDescent="0.3">
      <c r="A4" s="24"/>
      <c r="B4" s="25"/>
      <c r="C4" s="25"/>
      <c r="D4" s="25"/>
      <c r="E4" s="25"/>
      <c r="F4" s="25"/>
      <c r="G4" s="25"/>
      <c r="H4" s="25"/>
      <c r="I4" s="25"/>
      <c r="J4" s="25"/>
      <c r="K4" s="25"/>
      <c r="L4" s="25"/>
    </row>
    <row r="5" spans="1:14" ht="19.5" thickBot="1" x14ac:dyDescent="0.35">
      <c r="A5" s="26" t="s">
        <v>43</v>
      </c>
      <c r="B5" s="27"/>
      <c r="C5" s="27"/>
      <c r="D5" s="27"/>
      <c r="E5" s="27"/>
      <c r="F5" s="27"/>
      <c r="G5" s="27"/>
      <c r="H5" s="27"/>
      <c r="I5" s="27"/>
      <c r="J5" s="27"/>
      <c r="K5" s="27"/>
      <c r="L5" s="27"/>
    </row>
    <row r="7" spans="1:14" ht="45" x14ac:dyDescent="0.25">
      <c r="A7" s="13" t="s">
        <v>10</v>
      </c>
      <c r="B7" s="14" t="s">
        <v>2</v>
      </c>
      <c r="C7" s="14" t="s">
        <v>3</v>
      </c>
      <c r="D7" s="14" t="s">
        <v>4</v>
      </c>
      <c r="E7" s="14" t="s">
        <v>148</v>
      </c>
      <c r="F7" s="14" t="s">
        <v>150</v>
      </c>
      <c r="G7" s="14" t="s">
        <v>149</v>
      </c>
      <c r="H7" s="14" t="s">
        <v>5</v>
      </c>
      <c r="I7" s="14" t="s">
        <v>109</v>
      </c>
      <c r="J7" s="14" t="s">
        <v>108</v>
      </c>
      <c r="K7" s="14" t="s">
        <v>107</v>
      </c>
      <c r="L7" s="15" t="s">
        <v>9</v>
      </c>
    </row>
    <row r="8" spans="1:14" x14ac:dyDescent="0.25">
      <c r="A8" s="242" t="s">
        <v>146</v>
      </c>
      <c r="B8" s="242"/>
      <c r="C8" s="242"/>
      <c r="D8" s="242"/>
      <c r="E8" s="242"/>
      <c r="F8" s="242"/>
      <c r="G8" s="242"/>
      <c r="H8" s="242"/>
      <c r="I8" s="242"/>
      <c r="J8" s="242"/>
      <c r="K8" s="242"/>
      <c r="L8" s="242"/>
    </row>
    <row r="9" spans="1:14" x14ac:dyDescent="0.25">
      <c r="A9" s="22">
        <v>2016</v>
      </c>
      <c r="B9" s="353">
        <v>0</v>
      </c>
      <c r="C9" s="353">
        <v>0</v>
      </c>
      <c r="D9" s="353">
        <v>3763315.33</v>
      </c>
      <c r="E9" s="5">
        <v>154800</v>
      </c>
      <c r="F9" s="5">
        <f>G9-E9</f>
        <v>88638.53</v>
      </c>
      <c r="G9" s="353">
        <v>243438.53</v>
      </c>
      <c r="H9" s="353">
        <v>258044</v>
      </c>
      <c r="I9" s="353">
        <v>59983.5</v>
      </c>
      <c r="J9" s="353">
        <v>1939.72</v>
      </c>
      <c r="K9" s="353">
        <v>0</v>
      </c>
      <c r="L9" s="9">
        <f t="shared" ref="L9:L13" si="0">SUM(B9:F9,H9:K9)</f>
        <v>4326721.0799999991</v>
      </c>
      <c r="N9" s="353"/>
    </row>
    <row r="10" spans="1:14" x14ac:dyDescent="0.25">
      <c r="A10" s="22">
        <v>2017</v>
      </c>
      <c r="B10" s="355">
        <v>0</v>
      </c>
      <c r="C10" s="355">
        <v>0</v>
      </c>
      <c r="D10" s="355">
        <v>3725835.5999999996</v>
      </c>
      <c r="E10" s="5">
        <v>156400</v>
      </c>
      <c r="F10" s="5">
        <f>G10-E10</f>
        <v>72027.739999999991</v>
      </c>
      <c r="G10" s="355">
        <v>228427.74</v>
      </c>
      <c r="H10" s="355">
        <v>227574.3</v>
      </c>
      <c r="I10" s="355">
        <v>56255.360000000001</v>
      </c>
      <c r="J10" s="355">
        <v>1611.01</v>
      </c>
      <c r="K10" s="355">
        <v>0</v>
      </c>
      <c r="L10" s="16">
        <f t="shared" si="0"/>
        <v>4239704.01</v>
      </c>
      <c r="N10" s="355"/>
    </row>
    <row r="11" spans="1:14" x14ac:dyDescent="0.25">
      <c r="A11" s="22">
        <v>2018</v>
      </c>
      <c r="B11" s="355">
        <v>0</v>
      </c>
      <c r="C11" s="355">
        <v>0</v>
      </c>
      <c r="D11" s="355">
        <v>3758358.4299999997</v>
      </c>
      <c r="E11" s="5">
        <v>172800</v>
      </c>
      <c r="F11" s="5">
        <f>G11-E11</f>
        <v>92244.87</v>
      </c>
      <c r="G11" s="355">
        <v>265044.87</v>
      </c>
      <c r="H11" s="355">
        <v>221495.1</v>
      </c>
      <c r="I11" s="355">
        <v>44445.9</v>
      </c>
      <c r="J11" s="355">
        <v>1497.23</v>
      </c>
      <c r="K11" s="355">
        <v>0</v>
      </c>
      <c r="L11" s="16">
        <f t="shared" si="0"/>
        <v>4290841.53</v>
      </c>
      <c r="N11" s="355"/>
    </row>
    <row r="12" spans="1:14" x14ac:dyDescent="0.25">
      <c r="A12" s="22">
        <v>2019</v>
      </c>
      <c r="B12" s="1">
        <v>0</v>
      </c>
      <c r="C12" s="1">
        <v>0</v>
      </c>
      <c r="D12" s="1">
        <v>3668056.82</v>
      </c>
      <c r="E12" s="5">
        <v>172800</v>
      </c>
      <c r="F12" s="5">
        <f>G12-E12</f>
        <v>55790.880000000005</v>
      </c>
      <c r="G12" s="1">
        <v>228590.88</v>
      </c>
      <c r="H12" s="1">
        <v>216188.64</v>
      </c>
      <c r="I12" s="1">
        <v>46618.69</v>
      </c>
      <c r="J12" s="1">
        <v>1471.68</v>
      </c>
      <c r="K12" s="1">
        <v>0</v>
      </c>
      <c r="L12" s="16">
        <f t="shared" si="0"/>
        <v>4160926.71</v>
      </c>
      <c r="N12" s="1"/>
    </row>
    <row r="13" spans="1:14" x14ac:dyDescent="0.25">
      <c r="A13" s="22">
        <v>2020</v>
      </c>
      <c r="B13" s="355">
        <v>0</v>
      </c>
      <c r="C13" s="355">
        <v>0</v>
      </c>
      <c r="D13" s="355">
        <v>3432956.5</v>
      </c>
      <c r="E13" s="5">
        <v>172800</v>
      </c>
      <c r="F13" s="5">
        <f>G13-E13</f>
        <v>69257.320000000007</v>
      </c>
      <c r="G13" s="355">
        <v>242057.32</v>
      </c>
      <c r="H13" s="355">
        <v>189813.83</v>
      </c>
      <c r="I13" s="355">
        <v>47272.4</v>
      </c>
      <c r="J13" s="355">
        <v>1451.52</v>
      </c>
      <c r="K13" s="355">
        <v>0</v>
      </c>
      <c r="L13" s="16">
        <f t="shared" si="0"/>
        <v>3913551.57</v>
      </c>
      <c r="N13" s="355"/>
    </row>
    <row r="14" spans="1:14" x14ac:dyDescent="0.25">
      <c r="A14" s="189" t="s">
        <v>219</v>
      </c>
      <c r="B14" s="51">
        <f t="shared" ref="B14:L14" si="1">AVERAGE(B10:B13)</f>
        <v>0</v>
      </c>
      <c r="C14" s="51">
        <f t="shared" si="1"/>
        <v>0</v>
      </c>
      <c r="D14" s="51">
        <f t="shared" si="1"/>
        <v>3646301.8374999999</v>
      </c>
      <c r="E14" s="51">
        <f t="shared" si="1"/>
        <v>168700</v>
      </c>
      <c r="F14" s="51">
        <f t="shared" si="1"/>
        <v>72330.202499999999</v>
      </c>
      <c r="G14" s="51">
        <f t="shared" si="1"/>
        <v>241030.20250000001</v>
      </c>
      <c r="H14" s="51">
        <f t="shared" si="1"/>
        <v>213767.9675</v>
      </c>
      <c r="I14" s="51">
        <f t="shared" si="1"/>
        <v>48648.087500000001</v>
      </c>
      <c r="J14" s="51">
        <f t="shared" si="1"/>
        <v>1507.8600000000001</v>
      </c>
      <c r="K14" s="51">
        <f t="shared" si="1"/>
        <v>0</v>
      </c>
      <c r="L14" s="51">
        <f t="shared" si="1"/>
        <v>4151255.9550000001</v>
      </c>
    </row>
    <row r="15" spans="1:14" ht="18.75" x14ac:dyDescent="0.3">
      <c r="A15" s="252" t="s">
        <v>22</v>
      </c>
      <c r="B15" s="253"/>
      <c r="C15" s="253"/>
      <c r="D15" s="253"/>
      <c r="E15" s="254"/>
      <c r="F15" s="254"/>
      <c r="G15" s="254"/>
      <c r="H15" s="253"/>
      <c r="I15" s="253"/>
      <c r="J15" s="253"/>
      <c r="K15" s="253"/>
      <c r="L15" s="255"/>
    </row>
    <row r="16" spans="1:14" x14ac:dyDescent="0.25">
      <c r="A16" s="22">
        <v>2017</v>
      </c>
      <c r="B16" s="31"/>
      <c r="C16" s="31"/>
      <c r="D16" s="31">
        <f>IFERROR(ROUND(D10/'Rate Class Energy Model'!D10,4),0)</f>
        <v>2.5999999999999999E-3</v>
      </c>
      <c r="E16" s="31"/>
      <c r="F16" s="31"/>
      <c r="G16" s="31"/>
      <c r="H16" s="31">
        <f>IFERROR(ROUND(H10/'Rate Class Energy Model'!F10,4),0)</f>
        <v>1.9E-3</v>
      </c>
      <c r="I16" s="31">
        <f>IFERROR(ROUND(I10/'Rate Class Energy Model'!G10,4),0)</f>
        <v>2.8E-3</v>
      </c>
      <c r="J16" s="31">
        <f>IFERROR(ROUND(J10/'Rate Class Energy Model'!H10,4),0)</f>
        <v>2.7000000000000001E-3</v>
      </c>
      <c r="K16" s="31"/>
      <c r="L16" s="10"/>
    </row>
    <row r="17" spans="1:12" x14ac:dyDescent="0.25">
      <c r="A17" s="22">
        <v>2018</v>
      </c>
      <c r="B17" s="31"/>
      <c r="C17" s="31"/>
      <c r="D17" s="31">
        <f>IFERROR(ROUND(D11/'Rate Class Energy Model'!D11,4),0)</f>
        <v>2.5000000000000001E-3</v>
      </c>
      <c r="E17" s="31"/>
      <c r="F17" s="31"/>
      <c r="G17" s="31"/>
      <c r="H17" s="31">
        <f>IFERROR(ROUND(H11/'Rate Class Energy Model'!F11,4),0)</f>
        <v>1.9E-3</v>
      </c>
      <c r="I17" s="31">
        <f>IFERROR(ROUND(I11/'Rate Class Energy Model'!G11,4),0)</f>
        <v>2.8E-3</v>
      </c>
      <c r="J17" s="31">
        <f>IFERROR(ROUND(J11/'Rate Class Energy Model'!H11,4),0)</f>
        <v>2.7000000000000001E-3</v>
      </c>
      <c r="K17" s="31"/>
      <c r="L17" s="10"/>
    </row>
    <row r="18" spans="1:12" x14ac:dyDescent="0.25">
      <c r="A18" s="22">
        <v>2019</v>
      </c>
      <c r="B18" s="31"/>
      <c r="C18" s="31"/>
      <c r="D18" s="31">
        <f>IFERROR(ROUND(D12/'Rate Class Energy Model'!D12,4),0)</f>
        <v>2.5000000000000001E-3</v>
      </c>
      <c r="E18" s="31"/>
      <c r="F18" s="31"/>
      <c r="G18" s="31"/>
      <c r="H18" s="31">
        <f>IFERROR(ROUND(H12/'Rate Class Energy Model'!F12,4),0)</f>
        <v>2E-3</v>
      </c>
      <c r="I18" s="31">
        <f>IFERROR(ROUND(I12/'Rate Class Energy Model'!G12,4),0)</f>
        <v>2.8E-3</v>
      </c>
      <c r="J18" s="31">
        <f>IFERROR(ROUND(J12/'Rate Class Energy Model'!H12,4),0)</f>
        <v>2.7000000000000001E-3</v>
      </c>
      <c r="K18" s="31"/>
      <c r="L18" s="10"/>
    </row>
    <row r="19" spans="1:12" x14ac:dyDescent="0.25">
      <c r="A19" s="22">
        <v>2020</v>
      </c>
      <c r="B19" s="31"/>
      <c r="C19" s="31"/>
      <c r="D19" s="31">
        <f>IFERROR(ROUND(D13/'Rate Class Energy Model'!D13,4),0)</f>
        <v>2.5000000000000001E-3</v>
      </c>
      <c r="E19" s="31"/>
      <c r="F19" s="31"/>
      <c r="G19" s="31"/>
      <c r="H19" s="31">
        <f>IFERROR(ROUND(H13/'Rate Class Energy Model'!F13,4),0)</f>
        <v>1.8E-3</v>
      </c>
      <c r="I19" s="31">
        <f>IFERROR(ROUND(I13/'Rate Class Energy Model'!G13,4),0)</f>
        <v>2.8E-3</v>
      </c>
      <c r="J19" s="31">
        <f>IFERROR(ROUND(J13/'Rate Class Energy Model'!H13,4),0)</f>
        <v>2.7000000000000001E-3</v>
      </c>
      <c r="K19" s="31"/>
      <c r="L19" s="10"/>
    </row>
    <row r="20" spans="1:12" x14ac:dyDescent="0.25">
      <c r="A20" s="189" t="s">
        <v>219</v>
      </c>
      <c r="B20" s="179"/>
      <c r="C20" s="179"/>
      <c r="D20" s="179">
        <f>AVERAGE(D16:D19)</f>
        <v>2.5250000000000003E-3</v>
      </c>
      <c r="E20" s="179"/>
      <c r="F20" s="179"/>
      <c r="G20" s="179"/>
      <c r="H20" s="179">
        <f>AVERAGE(H16:H19)</f>
        <v>1.8999999999999998E-3</v>
      </c>
      <c r="I20" s="179">
        <f>AVERAGE(I16:I19)</f>
        <v>2.8E-3</v>
      </c>
      <c r="J20" s="179">
        <f>AVERAGE(J16:J19)</f>
        <v>2.7000000000000001E-3</v>
      </c>
      <c r="K20" s="179"/>
      <c r="L20" s="179"/>
    </row>
    <row r="21" spans="1:12" ht="18.75" x14ac:dyDescent="0.3">
      <c r="A21" s="256" t="s">
        <v>125</v>
      </c>
      <c r="B21" s="257"/>
      <c r="C21" s="257"/>
      <c r="D21" s="257"/>
      <c r="E21" s="257"/>
      <c r="F21" s="257"/>
      <c r="G21" s="257"/>
      <c r="H21" s="257"/>
      <c r="I21" s="257"/>
      <c r="J21" s="257"/>
      <c r="K21" s="257"/>
      <c r="L21" s="258"/>
    </row>
    <row r="22" spans="1:12" s="28" customFormat="1" ht="23.25" customHeight="1" x14ac:dyDescent="0.25">
      <c r="A22" s="175">
        <v>2021</v>
      </c>
      <c r="B22" s="67">
        <v>0</v>
      </c>
      <c r="C22" s="67">
        <v>0</v>
      </c>
      <c r="D22" s="67">
        <f>ROUND(D20*('Rate Class Energy Model'!D42),0)</f>
        <v>3472577</v>
      </c>
      <c r="E22" s="67">
        <f>E13</f>
        <v>172800</v>
      </c>
      <c r="F22" s="67">
        <f>F14</f>
        <v>72330.202499999999</v>
      </c>
      <c r="G22" s="67">
        <f>SUM(E22:F22)</f>
        <v>245130.20250000001</v>
      </c>
      <c r="H22" s="67">
        <f>ROUND(H20*('Rate Class Energy Model'!F42),0)</f>
        <v>186013</v>
      </c>
      <c r="I22" s="67">
        <f>ROUND(I20*('Rate Class Energy Model'!G42),0)</f>
        <v>44453</v>
      </c>
      <c r="J22" s="67">
        <f>ROUND(J20*('Rate Class Energy Model'!H42),0)</f>
        <v>1342</v>
      </c>
      <c r="K22" s="67">
        <v>0</v>
      </c>
      <c r="L22" s="176">
        <f>SUM(B22:F22,H22:K22)</f>
        <v>3949515.2025000001</v>
      </c>
    </row>
    <row r="23" spans="1:12" s="28" customFormat="1" ht="23.25" customHeight="1" x14ac:dyDescent="0.25">
      <c r="A23" s="177">
        <v>2022</v>
      </c>
      <c r="B23" s="67">
        <v>0</v>
      </c>
      <c r="C23" s="67">
        <v>0</v>
      </c>
      <c r="D23" s="82">
        <f>ROUND(D20*('Rate Class Energy Model'!D43),0)</f>
        <v>3424757</v>
      </c>
      <c r="E23" s="82">
        <f>E22</f>
        <v>172800</v>
      </c>
      <c r="F23" s="82">
        <f>F22</f>
        <v>72330.202499999999</v>
      </c>
      <c r="G23" s="67">
        <f>SUM(E23:F23)</f>
        <v>245130.20250000001</v>
      </c>
      <c r="H23" s="82">
        <f>ROUND(H20*('Rate Class Energy Model'!F43),0)</f>
        <v>175082</v>
      </c>
      <c r="I23" s="82">
        <f>ROUND(I20*('Rate Class Energy Model'!G43),0)</f>
        <v>41823</v>
      </c>
      <c r="J23" s="82">
        <f>ROUND(J20*('Rate Class Energy Model'!H43),0)</f>
        <v>1248</v>
      </c>
      <c r="K23" s="82">
        <v>0</v>
      </c>
      <c r="L23" s="176">
        <f>SUM(B23:F23,H23:K23)</f>
        <v>3888040.2025000001</v>
      </c>
    </row>
    <row r="24" spans="1:12" ht="18.75" x14ac:dyDescent="0.3">
      <c r="A24" s="259" t="s">
        <v>122</v>
      </c>
      <c r="B24" s="251"/>
      <c r="C24" s="251"/>
      <c r="D24" s="251"/>
      <c r="E24" s="251"/>
      <c r="F24" s="251"/>
      <c r="G24" s="251"/>
      <c r="H24" s="251"/>
      <c r="I24" s="251"/>
      <c r="J24" s="251"/>
      <c r="K24" s="251"/>
      <c r="L24" s="260"/>
    </row>
    <row r="25" spans="1:12" x14ac:dyDescent="0.25">
      <c r="A25" s="175">
        <v>2021</v>
      </c>
      <c r="B25" s="67">
        <f>WMP!B45</f>
        <v>0</v>
      </c>
      <c r="C25" s="67">
        <f>WMP!C45</f>
        <v>0</v>
      </c>
      <c r="D25" s="67">
        <f>WMP!D45</f>
        <v>27448.685521272113</v>
      </c>
      <c r="E25" s="67">
        <f>WMP!E45</f>
        <v>0</v>
      </c>
      <c r="F25" s="67">
        <f>WMP!F45</f>
        <v>0</v>
      </c>
      <c r="G25" s="67">
        <f>WMP!G45</f>
        <v>0</v>
      </c>
      <c r="H25" s="67">
        <f>WMP!H45</f>
        <v>0</v>
      </c>
      <c r="I25" s="67">
        <f>WMP!G45</f>
        <v>0</v>
      </c>
      <c r="J25" s="67">
        <f>WMP!H45</f>
        <v>0</v>
      </c>
      <c r="K25" s="67">
        <f>WMP!I45</f>
        <v>0</v>
      </c>
      <c r="L25" s="176">
        <f>SUM(B25:K25)</f>
        <v>27448.685521272113</v>
      </c>
    </row>
    <row r="26" spans="1:12" x14ac:dyDescent="0.25">
      <c r="A26" s="177">
        <v>2022</v>
      </c>
      <c r="B26" s="82">
        <f>WMP!B46</f>
        <v>0</v>
      </c>
      <c r="C26" s="82">
        <f>WMP!C46</f>
        <v>0</v>
      </c>
      <c r="D26" s="82">
        <f>WMP!D46</f>
        <v>27169.531619587819</v>
      </c>
      <c r="E26" s="82">
        <f>WMP!E46</f>
        <v>0</v>
      </c>
      <c r="F26" s="82">
        <f>WMP!F46</f>
        <v>0</v>
      </c>
      <c r="G26" s="82">
        <f>WMP!G46</f>
        <v>0</v>
      </c>
      <c r="H26" s="82">
        <f>WMP!H46</f>
        <v>0</v>
      </c>
      <c r="I26" s="82">
        <f>WMP!G46</f>
        <v>0</v>
      </c>
      <c r="J26" s="82">
        <f>WMP!H46</f>
        <v>0</v>
      </c>
      <c r="K26" s="82">
        <f>WMP!I46</f>
        <v>0</v>
      </c>
      <c r="L26" s="83">
        <f>SUM(B26:K26)</f>
        <v>27169.531619587819</v>
      </c>
    </row>
    <row r="27" spans="1:12" ht="18.75" x14ac:dyDescent="0.3">
      <c r="A27" s="256" t="s">
        <v>124</v>
      </c>
      <c r="B27" s="257"/>
      <c r="C27" s="257"/>
      <c r="D27" s="257"/>
      <c r="E27" s="257"/>
      <c r="F27" s="257"/>
      <c r="G27" s="257"/>
      <c r="H27" s="257"/>
      <c r="I27" s="257"/>
      <c r="J27" s="257"/>
      <c r="K27" s="257"/>
      <c r="L27" s="258"/>
    </row>
    <row r="28" spans="1:12" s="28" customFormat="1" ht="23.25" customHeight="1" x14ac:dyDescent="0.25">
      <c r="A28" s="175">
        <v>2021</v>
      </c>
      <c r="B28" s="67">
        <f>B22+B25</f>
        <v>0</v>
      </c>
      <c r="C28" s="67">
        <f t="shared" ref="C28:K29" si="2">C22+C25</f>
        <v>0</v>
      </c>
      <c r="D28" s="67">
        <f t="shared" si="2"/>
        <v>3500025.685521272</v>
      </c>
      <c r="E28" s="67">
        <f t="shared" ref="E28:H28" si="3">E22+E25</f>
        <v>172800</v>
      </c>
      <c r="F28" s="67">
        <f t="shared" si="3"/>
        <v>72330.202499999999</v>
      </c>
      <c r="G28" s="67">
        <f t="shared" si="3"/>
        <v>245130.20250000001</v>
      </c>
      <c r="H28" s="67">
        <f t="shared" si="3"/>
        <v>186013</v>
      </c>
      <c r="I28" s="67">
        <f t="shared" si="2"/>
        <v>44453</v>
      </c>
      <c r="J28" s="67">
        <f t="shared" si="2"/>
        <v>1342</v>
      </c>
      <c r="K28" s="67">
        <f t="shared" si="2"/>
        <v>0</v>
      </c>
      <c r="L28" s="176">
        <f>SUM(B28:F28,H28:K28)</f>
        <v>3976963.8880212721</v>
      </c>
    </row>
    <row r="29" spans="1:12" s="28" customFormat="1" ht="23.25" customHeight="1" x14ac:dyDescent="0.25">
      <c r="A29" s="177">
        <v>2022</v>
      </c>
      <c r="B29" s="82">
        <f>B23+B26</f>
        <v>0</v>
      </c>
      <c r="C29" s="82">
        <f t="shared" si="2"/>
        <v>0</v>
      </c>
      <c r="D29" s="82">
        <f t="shared" si="2"/>
        <v>3451926.5316195879</v>
      </c>
      <c r="E29" s="82">
        <f t="shared" ref="E29:H29" si="4">E23+E26</f>
        <v>172800</v>
      </c>
      <c r="F29" s="82">
        <f t="shared" si="4"/>
        <v>72330.202499999999</v>
      </c>
      <c r="G29" s="82">
        <f t="shared" si="4"/>
        <v>245130.20250000001</v>
      </c>
      <c r="H29" s="82">
        <f t="shared" si="4"/>
        <v>175082</v>
      </c>
      <c r="I29" s="82">
        <f t="shared" si="2"/>
        <v>41823</v>
      </c>
      <c r="J29" s="82">
        <f t="shared" si="2"/>
        <v>1248</v>
      </c>
      <c r="K29" s="82">
        <f t="shared" si="2"/>
        <v>0</v>
      </c>
      <c r="L29" s="83">
        <f>SUM(B29:F29,H29:K29)</f>
        <v>3915209.734119588</v>
      </c>
    </row>
  </sheetData>
  <pageMargins left="0.7" right="0.7" top="0.75" bottom="0.75" header="0.3" footer="0.3"/>
  <pageSetup scale="75" orientation="landscape" r:id="rId1"/>
  <headerFooter>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L41"/>
  <sheetViews>
    <sheetView topLeftCell="A10" workbookViewId="0">
      <selection activeCell="F41" sqref="F41"/>
    </sheetView>
  </sheetViews>
  <sheetFormatPr defaultColWidth="11.140625" defaultRowHeight="15" x14ac:dyDescent="0.25"/>
  <cols>
    <col min="1" max="1" width="18.7109375" customWidth="1"/>
    <col min="2" max="3" width="0" hidden="1" customWidth="1"/>
    <col min="4" max="4" width="18" bestFit="1" customWidth="1"/>
    <col min="5" max="5" width="15.28515625" bestFit="1" customWidth="1"/>
    <col min="6" max="6" width="14.28515625" bestFit="1" customWidth="1"/>
    <col min="7" max="7" width="15.28515625" bestFit="1" customWidth="1"/>
    <col min="8" max="8" width="9.5703125" hidden="1" customWidth="1"/>
    <col min="9" max="9" width="8" hidden="1" customWidth="1"/>
    <col min="10" max="10" width="8.42578125" hidden="1" customWidth="1"/>
    <col min="11" max="11" width="11.28515625" hidden="1" customWidth="1"/>
    <col min="12" max="12" width="18" bestFit="1" customWidth="1"/>
  </cols>
  <sheetData>
    <row r="1" spans="1:12" ht="18.75" x14ac:dyDescent="0.3">
      <c r="A1" s="24" t="str">
        <f>Admin!B3</f>
        <v>London Hydro</v>
      </c>
      <c r="B1" s="25"/>
      <c r="C1" s="25"/>
      <c r="D1" s="25"/>
      <c r="E1" s="25"/>
      <c r="F1" s="25"/>
      <c r="G1" s="25"/>
      <c r="H1" s="25"/>
      <c r="I1" s="25"/>
      <c r="J1" s="25"/>
      <c r="K1" s="25"/>
      <c r="L1" s="25"/>
    </row>
    <row r="2" spans="1:12" ht="18.75" x14ac:dyDescent="0.3">
      <c r="A2" s="24" t="str">
        <f>Admin!B5</f>
        <v>EB-2021-0041</v>
      </c>
      <c r="B2" s="25"/>
      <c r="C2" s="25"/>
      <c r="D2" s="25"/>
      <c r="E2" s="25"/>
      <c r="F2" s="25"/>
      <c r="G2" s="25"/>
      <c r="H2" s="25"/>
      <c r="I2" s="25"/>
      <c r="J2" s="25"/>
      <c r="K2" s="25"/>
      <c r="L2" s="25"/>
    </row>
    <row r="3" spans="1:12" ht="18.75" x14ac:dyDescent="0.3">
      <c r="A3" s="24" t="str">
        <f>Admin!B7</f>
        <v>2022 Load Forecast</v>
      </c>
      <c r="B3" s="25"/>
      <c r="C3" s="25"/>
      <c r="D3" s="25"/>
      <c r="E3" s="25"/>
      <c r="F3" s="25"/>
      <c r="G3" s="25"/>
      <c r="H3" s="25"/>
      <c r="I3" s="25"/>
      <c r="J3" s="25"/>
      <c r="K3" s="25"/>
      <c r="L3" s="25"/>
    </row>
    <row r="4" spans="1:12" ht="18.75" x14ac:dyDescent="0.3">
      <c r="A4" s="24"/>
      <c r="B4" s="25"/>
      <c r="C4" s="25"/>
      <c r="D4" s="25"/>
      <c r="E4" s="25"/>
      <c r="F4" s="25"/>
      <c r="G4" s="25"/>
      <c r="H4" s="25"/>
      <c r="I4" s="25"/>
      <c r="J4" s="25"/>
      <c r="K4" s="25"/>
      <c r="L4" s="25"/>
    </row>
    <row r="5" spans="1:12" ht="19.5" thickBot="1" x14ac:dyDescent="0.35">
      <c r="A5" s="26" t="s">
        <v>178</v>
      </c>
      <c r="B5" s="27"/>
      <c r="C5" s="27"/>
      <c r="D5" s="27"/>
      <c r="E5" s="27"/>
      <c r="F5" s="27"/>
      <c r="G5" s="27"/>
      <c r="H5" s="27"/>
      <c r="I5" s="27"/>
      <c r="J5" s="27"/>
      <c r="K5" s="27"/>
      <c r="L5" s="27"/>
    </row>
    <row r="7" spans="1:12" ht="60" x14ac:dyDescent="0.25">
      <c r="A7" s="13" t="s">
        <v>10</v>
      </c>
      <c r="B7" s="14" t="s">
        <v>2</v>
      </c>
      <c r="C7" s="14" t="s">
        <v>3</v>
      </c>
      <c r="D7" s="14" t="s">
        <v>173</v>
      </c>
      <c r="E7" s="14" t="s">
        <v>148</v>
      </c>
      <c r="F7" s="14" t="s">
        <v>150</v>
      </c>
      <c r="G7" s="14" t="s">
        <v>149</v>
      </c>
      <c r="H7" s="14" t="s">
        <v>174</v>
      </c>
      <c r="I7" s="14" t="s">
        <v>109</v>
      </c>
      <c r="J7" s="14" t="s">
        <v>108</v>
      </c>
      <c r="K7" s="14" t="s">
        <v>107</v>
      </c>
      <c r="L7" s="15" t="s">
        <v>9</v>
      </c>
    </row>
    <row r="8" spans="1:12" ht="18.75" x14ac:dyDescent="0.3">
      <c r="A8" s="317" t="s">
        <v>146</v>
      </c>
      <c r="B8" s="278"/>
      <c r="C8" s="278"/>
      <c r="D8" s="278"/>
      <c r="E8" s="278"/>
      <c r="F8" s="278"/>
      <c r="G8" s="278"/>
      <c r="H8" s="278"/>
      <c r="I8" s="278"/>
      <c r="J8" s="278"/>
      <c r="K8" s="278"/>
      <c r="L8" s="318"/>
    </row>
    <row r="9" spans="1:12" x14ac:dyDescent="0.25">
      <c r="A9" s="22">
        <v>2017</v>
      </c>
      <c r="B9" s="329"/>
      <c r="C9" s="329"/>
      <c r="D9" s="312">
        <f>'Rate Class Demand Model'!D10</f>
        <v>3725835.5999999996</v>
      </c>
      <c r="E9" s="5">
        <f>'Rate Class Demand Model'!E10</f>
        <v>156400</v>
      </c>
      <c r="F9" s="5">
        <f>'Rate Class Demand Model'!F10</f>
        <v>72027.739999999991</v>
      </c>
      <c r="G9" s="5">
        <f t="shared" ref="G9:G12" si="0">SUM(E9:F9)</f>
        <v>228427.74</v>
      </c>
      <c r="H9" s="5">
        <v>0</v>
      </c>
      <c r="I9" s="5">
        <v>0</v>
      </c>
      <c r="J9" s="5">
        <v>0</v>
      </c>
      <c r="K9" s="5">
        <v>0</v>
      </c>
      <c r="L9" s="9">
        <f t="shared" ref="L9:L12" si="1">SUM(D9:F9)</f>
        <v>3954263.34</v>
      </c>
    </row>
    <row r="10" spans="1:12" x14ac:dyDescent="0.25">
      <c r="A10" s="22">
        <v>2018</v>
      </c>
      <c r="B10" s="329"/>
      <c r="C10" s="329"/>
      <c r="D10" s="312">
        <f>'Rate Class Demand Model'!D11</f>
        <v>3758358.4299999997</v>
      </c>
      <c r="E10" s="5">
        <f>'Rate Class Demand Model'!E11</f>
        <v>172800</v>
      </c>
      <c r="F10" s="5">
        <f>'Rate Class Demand Model'!F11</f>
        <v>92244.87</v>
      </c>
      <c r="G10" s="5">
        <f t="shared" si="0"/>
        <v>265044.87</v>
      </c>
      <c r="H10" s="5">
        <v>0</v>
      </c>
      <c r="I10" s="5">
        <v>0</v>
      </c>
      <c r="J10" s="5">
        <v>0</v>
      </c>
      <c r="K10" s="5">
        <v>0</v>
      </c>
      <c r="L10" s="9">
        <f t="shared" si="1"/>
        <v>4023403.3</v>
      </c>
    </row>
    <row r="11" spans="1:12" x14ac:dyDescent="0.25">
      <c r="A11" s="22">
        <v>2019</v>
      </c>
      <c r="B11" s="329"/>
      <c r="C11" s="329"/>
      <c r="D11" s="312">
        <f>'Rate Class Demand Model'!D12</f>
        <v>3668056.82</v>
      </c>
      <c r="E11" s="5">
        <f>'Rate Class Demand Model'!E12</f>
        <v>172800</v>
      </c>
      <c r="F11" s="5">
        <f>'Rate Class Demand Model'!F12</f>
        <v>55790.880000000005</v>
      </c>
      <c r="G11" s="5">
        <f t="shared" si="0"/>
        <v>228590.88</v>
      </c>
      <c r="H11" s="5">
        <v>0</v>
      </c>
      <c r="I11" s="5">
        <v>0</v>
      </c>
      <c r="J11" s="5">
        <v>0</v>
      </c>
      <c r="K11" s="5">
        <v>0</v>
      </c>
      <c r="L11" s="9">
        <f t="shared" si="1"/>
        <v>3896647.6999999997</v>
      </c>
    </row>
    <row r="12" spans="1:12" x14ac:dyDescent="0.25">
      <c r="A12" s="22">
        <v>2020</v>
      </c>
      <c r="B12" s="329"/>
      <c r="C12" s="329"/>
      <c r="D12" s="312">
        <f>'Rate Class Demand Model'!D13</f>
        <v>3432956.5</v>
      </c>
      <c r="E12" s="5">
        <f>'Rate Class Demand Model'!E13</f>
        <v>172800</v>
      </c>
      <c r="F12" s="5">
        <f>'Rate Class Demand Model'!F13</f>
        <v>69257.320000000007</v>
      </c>
      <c r="G12" s="5">
        <f t="shared" si="0"/>
        <v>242057.32</v>
      </c>
      <c r="H12" s="5">
        <v>0</v>
      </c>
      <c r="I12" s="5">
        <v>0</v>
      </c>
      <c r="J12" s="5">
        <v>0</v>
      </c>
      <c r="K12" s="5">
        <v>0</v>
      </c>
      <c r="L12" s="9">
        <f t="shared" si="1"/>
        <v>3675013.82</v>
      </c>
    </row>
    <row r="13" spans="1:12" x14ac:dyDescent="0.25">
      <c r="A13" s="189" t="s">
        <v>223</v>
      </c>
      <c r="B13" s="51" t="e">
        <f>AVERAGE(#REF!)</f>
        <v>#REF!</v>
      </c>
      <c r="C13" s="51" t="e">
        <f>AVERAGE(#REF!)</f>
        <v>#REF!</v>
      </c>
      <c r="D13" s="51">
        <f t="shared" ref="D13:L13" si="2">AVERAGE(D9:D12)</f>
        <v>3646301.8374999999</v>
      </c>
      <c r="E13" s="51">
        <f t="shared" si="2"/>
        <v>168700</v>
      </c>
      <c r="F13" s="51">
        <f t="shared" si="2"/>
        <v>72330.202499999999</v>
      </c>
      <c r="G13" s="51">
        <f t="shared" si="2"/>
        <v>241030.20250000001</v>
      </c>
      <c r="H13" s="51">
        <f t="shared" si="2"/>
        <v>0</v>
      </c>
      <c r="I13" s="51">
        <f t="shared" si="2"/>
        <v>0</v>
      </c>
      <c r="J13" s="51">
        <f t="shared" si="2"/>
        <v>0</v>
      </c>
      <c r="K13" s="51">
        <f t="shared" si="2"/>
        <v>0</v>
      </c>
      <c r="L13" s="51">
        <f t="shared" si="2"/>
        <v>3887332.04</v>
      </c>
    </row>
    <row r="14" spans="1:12" ht="18.75" x14ac:dyDescent="0.3">
      <c r="A14" s="317" t="s">
        <v>179</v>
      </c>
      <c r="B14" s="278"/>
      <c r="C14" s="278"/>
      <c r="D14" s="278"/>
      <c r="E14" s="278"/>
      <c r="F14" s="278"/>
      <c r="G14" s="278"/>
      <c r="H14" s="278"/>
      <c r="I14" s="278"/>
      <c r="J14" s="278"/>
      <c r="K14" s="278"/>
      <c r="L14" s="318"/>
    </row>
    <row r="15" spans="1:12" x14ac:dyDescent="0.25">
      <c r="A15" s="22">
        <v>2017</v>
      </c>
      <c r="B15" s="329"/>
      <c r="C15" s="329"/>
      <c r="D15" s="354">
        <v>1038457.0166666666</v>
      </c>
      <c r="E15" s="5">
        <f>E9</f>
        <v>156400</v>
      </c>
      <c r="F15" s="5">
        <f>G15-E15</f>
        <v>72027.716666666704</v>
      </c>
      <c r="G15" s="5">
        <v>228427.7166666667</v>
      </c>
      <c r="H15" s="5">
        <v>0</v>
      </c>
      <c r="I15" s="5">
        <v>0</v>
      </c>
      <c r="J15" s="5">
        <v>0</v>
      </c>
      <c r="K15" s="5">
        <v>0</v>
      </c>
      <c r="L15" s="9">
        <f t="shared" ref="L15:L18" si="3">SUM(D15:F15)</f>
        <v>1266884.7333333334</v>
      </c>
    </row>
    <row r="16" spans="1:12" x14ac:dyDescent="0.25">
      <c r="A16" s="22">
        <v>2018</v>
      </c>
      <c r="B16" s="329"/>
      <c r="C16" s="329"/>
      <c r="D16" s="354">
        <v>1093951</v>
      </c>
      <c r="E16" s="5">
        <f t="shared" ref="E16:E18" si="4">E10</f>
        <v>172800</v>
      </c>
      <c r="F16" s="5">
        <f t="shared" ref="F16:F18" si="5">G16-E16</f>
        <v>92244.86666666664</v>
      </c>
      <c r="G16" s="5">
        <v>265044.86666666664</v>
      </c>
      <c r="H16" s="5">
        <v>0</v>
      </c>
      <c r="I16" s="5">
        <v>0</v>
      </c>
      <c r="J16" s="5">
        <v>0</v>
      </c>
      <c r="K16" s="5">
        <v>0</v>
      </c>
      <c r="L16" s="9">
        <f t="shared" si="3"/>
        <v>1358995.8666666667</v>
      </c>
    </row>
    <row r="17" spans="1:12" x14ac:dyDescent="0.25">
      <c r="A17" s="22">
        <v>2019</v>
      </c>
      <c r="B17" s="329"/>
      <c r="C17" s="329"/>
      <c r="D17" s="354">
        <v>1019520.5666666668</v>
      </c>
      <c r="E17" s="5">
        <f t="shared" si="4"/>
        <v>172800</v>
      </c>
      <c r="F17" s="5">
        <f t="shared" si="5"/>
        <v>56068.616666666698</v>
      </c>
      <c r="G17" s="5">
        <v>228868.6166666667</v>
      </c>
      <c r="H17" s="5">
        <v>0</v>
      </c>
      <c r="I17" s="5">
        <v>0</v>
      </c>
      <c r="J17" s="5">
        <v>0</v>
      </c>
      <c r="K17" s="5">
        <v>0</v>
      </c>
      <c r="L17" s="9">
        <f t="shared" si="3"/>
        <v>1248389.1833333336</v>
      </c>
    </row>
    <row r="18" spans="1:12" x14ac:dyDescent="0.25">
      <c r="A18" s="22">
        <v>2020</v>
      </c>
      <c r="B18" s="329"/>
      <c r="C18" s="329"/>
      <c r="D18" s="354">
        <v>986003.33333333349</v>
      </c>
      <c r="E18" s="5">
        <f t="shared" si="4"/>
        <v>172800</v>
      </c>
      <c r="F18" s="5">
        <f t="shared" si="5"/>
        <v>49287.366666666669</v>
      </c>
      <c r="G18" s="5">
        <v>222087.36666666667</v>
      </c>
      <c r="H18" s="5">
        <v>0</v>
      </c>
      <c r="I18" s="5">
        <v>0</v>
      </c>
      <c r="J18" s="5">
        <v>0</v>
      </c>
      <c r="K18" s="5">
        <v>0</v>
      </c>
      <c r="L18" s="9">
        <f t="shared" si="3"/>
        <v>1208090.7000000002</v>
      </c>
    </row>
    <row r="19" spans="1:12" x14ac:dyDescent="0.25">
      <c r="A19" s="189" t="s">
        <v>219</v>
      </c>
      <c r="B19" s="51" t="e">
        <f>AVERAGE(#REF!)</f>
        <v>#REF!</v>
      </c>
      <c r="C19" s="51" t="e">
        <f>AVERAGE(#REF!)</f>
        <v>#REF!</v>
      </c>
      <c r="D19" s="51">
        <f t="shared" ref="D19:L19" si="6">AVERAGE(D15:D18)</f>
        <v>1034482.9791666667</v>
      </c>
      <c r="E19" s="51">
        <f t="shared" si="6"/>
        <v>168700</v>
      </c>
      <c r="F19" s="51">
        <f t="shared" si="6"/>
        <v>67407.141666666677</v>
      </c>
      <c r="G19" s="51">
        <f t="shared" si="6"/>
        <v>236107.14166666669</v>
      </c>
      <c r="H19" s="51">
        <f t="shared" si="6"/>
        <v>0</v>
      </c>
      <c r="I19" s="51">
        <f t="shared" si="6"/>
        <v>0</v>
      </c>
      <c r="J19" s="51">
        <f t="shared" si="6"/>
        <v>0</v>
      </c>
      <c r="K19" s="51">
        <f t="shared" si="6"/>
        <v>0</v>
      </c>
      <c r="L19" s="51">
        <f t="shared" si="6"/>
        <v>1270590.1208333336</v>
      </c>
    </row>
    <row r="20" spans="1:12" ht="18.75" x14ac:dyDescent="0.3">
      <c r="A20" s="317" t="s">
        <v>180</v>
      </c>
      <c r="B20" s="278"/>
      <c r="C20" s="278"/>
      <c r="D20" s="278"/>
      <c r="E20" s="278"/>
      <c r="F20" s="278"/>
      <c r="G20" s="278"/>
      <c r="H20" s="278"/>
      <c r="I20" s="278"/>
      <c r="J20" s="278"/>
      <c r="K20" s="278"/>
      <c r="L20" s="318"/>
    </row>
    <row r="21" spans="1:12" x14ac:dyDescent="0.25">
      <c r="A21" s="22">
        <v>2017</v>
      </c>
      <c r="B21" s="329"/>
      <c r="C21" s="329"/>
      <c r="D21" s="305">
        <f t="shared" ref="D21:G24" si="7">D15/D9</f>
        <v>0.27871788456438246</v>
      </c>
      <c r="E21" s="305">
        <f t="shared" si="7"/>
        <v>1</v>
      </c>
      <c r="F21" s="305">
        <f t="shared" si="7"/>
        <v>0.99999967605073703</v>
      </c>
      <c r="G21" s="305">
        <f t="shared" si="7"/>
        <v>0.99999989785245313</v>
      </c>
      <c r="H21" s="5">
        <v>0</v>
      </c>
      <c r="I21" s="5">
        <v>0</v>
      </c>
      <c r="J21" s="5">
        <v>0</v>
      </c>
      <c r="K21" s="5">
        <v>0</v>
      </c>
      <c r="L21" s="9"/>
    </row>
    <row r="22" spans="1:12" x14ac:dyDescent="0.25">
      <c r="A22" s="22">
        <v>2018</v>
      </c>
      <c r="B22" s="329"/>
      <c r="C22" s="329"/>
      <c r="D22" s="305">
        <f t="shared" si="7"/>
        <v>0.29107149314654379</v>
      </c>
      <c r="E22" s="305">
        <f t="shared" si="7"/>
        <v>1</v>
      </c>
      <c r="F22" s="305">
        <f t="shared" si="7"/>
        <v>0.99999996386429557</v>
      </c>
      <c r="G22" s="305">
        <f t="shared" si="7"/>
        <v>0.99999998742351304</v>
      </c>
      <c r="H22" s="5">
        <v>0</v>
      </c>
      <c r="I22" s="5">
        <v>0</v>
      </c>
      <c r="J22" s="5">
        <v>0</v>
      </c>
      <c r="K22" s="5">
        <v>0</v>
      </c>
      <c r="L22" s="9"/>
    </row>
    <row r="23" spans="1:12" x14ac:dyDescent="0.25">
      <c r="A23" s="22">
        <v>2019</v>
      </c>
      <c r="B23" s="329"/>
      <c r="C23" s="329"/>
      <c r="D23" s="305">
        <f t="shared" si="7"/>
        <v>0.27794568533065056</v>
      </c>
      <c r="E23" s="305">
        <f t="shared" si="7"/>
        <v>1</v>
      </c>
      <c r="F23" s="305">
        <f t="shared" si="7"/>
        <v>1.0049781732546017</v>
      </c>
      <c r="G23" s="305">
        <f t="shared" si="7"/>
        <v>1.001214994520633</v>
      </c>
      <c r="H23" s="5">
        <v>0</v>
      </c>
      <c r="I23" s="5">
        <v>0</v>
      </c>
      <c r="J23" s="5">
        <v>0</v>
      </c>
      <c r="K23" s="5">
        <v>0</v>
      </c>
      <c r="L23" s="9"/>
    </row>
    <row r="24" spans="1:12" x14ac:dyDescent="0.25">
      <c r="A24" s="22">
        <v>2020</v>
      </c>
      <c r="B24" s="329"/>
      <c r="C24" s="329"/>
      <c r="D24" s="305">
        <f t="shared" si="7"/>
        <v>0.28721696104606437</v>
      </c>
      <c r="E24" s="305">
        <f t="shared" si="7"/>
        <v>1</v>
      </c>
      <c r="F24" s="305">
        <f t="shared" si="7"/>
        <v>0.7116557017607188</v>
      </c>
      <c r="G24" s="305">
        <f t="shared" si="7"/>
        <v>0.91749907280914567</v>
      </c>
      <c r="H24" s="5">
        <v>0</v>
      </c>
      <c r="I24" s="5">
        <v>0</v>
      </c>
      <c r="J24" s="5">
        <v>0</v>
      </c>
      <c r="K24" s="5">
        <v>0</v>
      </c>
      <c r="L24" s="9"/>
    </row>
    <row r="25" spans="1:12" x14ac:dyDescent="0.25">
      <c r="A25" s="189" t="s">
        <v>219</v>
      </c>
      <c r="B25" s="51" t="e">
        <f>AVERAGE(#REF!)</f>
        <v>#REF!</v>
      </c>
      <c r="C25" s="51" t="e">
        <f>AVERAGE(#REF!)</f>
        <v>#REF!</v>
      </c>
      <c r="D25" s="306">
        <f t="shared" ref="D25:K25" si="8">AVERAGE(D21:D24)</f>
        <v>0.28373800602191029</v>
      </c>
      <c r="E25" s="306">
        <f t="shared" si="8"/>
        <v>1</v>
      </c>
      <c r="F25" s="306">
        <f t="shared" si="8"/>
        <v>0.92915837873258822</v>
      </c>
      <c r="G25" s="306">
        <f t="shared" si="8"/>
        <v>0.97967848815143621</v>
      </c>
      <c r="H25" s="306">
        <f t="shared" si="8"/>
        <v>0</v>
      </c>
      <c r="I25" s="306">
        <f t="shared" si="8"/>
        <v>0</v>
      </c>
      <c r="J25" s="306">
        <f t="shared" si="8"/>
        <v>0</v>
      </c>
      <c r="K25" s="306">
        <f t="shared" si="8"/>
        <v>0</v>
      </c>
      <c r="L25" s="307"/>
    </row>
    <row r="26" spans="1:12" ht="18.75" x14ac:dyDescent="0.3">
      <c r="A26" s="238" t="s">
        <v>125</v>
      </c>
      <c r="B26" s="239"/>
      <c r="C26" s="239"/>
      <c r="D26" s="239"/>
      <c r="E26" s="239"/>
      <c r="F26" s="239"/>
      <c r="G26" s="239"/>
      <c r="H26" s="239"/>
      <c r="I26" s="239"/>
      <c r="J26" s="239"/>
      <c r="K26" s="239"/>
      <c r="L26" s="240"/>
    </row>
    <row r="27" spans="1:12" x14ac:dyDescent="0.25">
      <c r="A27" s="175">
        <v>2021</v>
      </c>
      <c r="B27" s="67" t="e">
        <f>ROUND(B25*('Rate Class Energy Model'!B48+'Rate Class Energy Model'!B51),0)</f>
        <v>#REF!</v>
      </c>
      <c r="C27" s="67" t="e">
        <f>ROUND(C25*('Rate Class Energy Model'!C48+'Rate Class Energy Model'!C51),0)</f>
        <v>#REF!</v>
      </c>
      <c r="D27" s="67">
        <f>'Rate Class Demand Model'!D28</f>
        <v>3500025.685521272</v>
      </c>
      <c r="E27" s="67">
        <f>'Rate Class Demand Model'!E28</f>
        <v>172800</v>
      </c>
      <c r="F27" s="67">
        <f>'Rate Class Demand Model'!F28</f>
        <v>72330.202499999999</v>
      </c>
      <c r="G27" s="67">
        <f>'Rate Class Demand Model'!G28</f>
        <v>245130.20250000001</v>
      </c>
      <c r="H27" s="67">
        <f>ROUND(H25*('Rate Class Energy Model'!F48+'Rate Class Energy Model'!F51),0)</f>
        <v>0</v>
      </c>
      <c r="I27" s="67">
        <f>ROUND(I25*('Rate Class Energy Model'!G48+'Rate Class Energy Model'!G51),0)</f>
        <v>0</v>
      </c>
      <c r="J27" s="67">
        <f>ROUND(J25*('Rate Class Energy Model'!H48+'Rate Class Energy Model'!H51),0)</f>
        <v>0</v>
      </c>
      <c r="K27" s="67">
        <f>ROUND(K25*('Rate Class Energy Model'!I48+'Rate Class Energy Model'!I51),0)</f>
        <v>0</v>
      </c>
      <c r="L27" s="176">
        <f>SUM(D27:F27)</f>
        <v>3745155.8880212721</v>
      </c>
    </row>
    <row r="28" spans="1:12" x14ac:dyDescent="0.25">
      <c r="A28" s="177">
        <v>2022</v>
      </c>
      <c r="B28" s="82" t="e">
        <f>ROUND(B25*('Rate Class Energy Model'!B49+'Rate Class Energy Model'!B52),0)</f>
        <v>#REF!</v>
      </c>
      <c r="C28" s="82" t="e">
        <f>ROUND(C25*('Rate Class Energy Model'!C49+'Rate Class Energy Model'!C52),0)</f>
        <v>#REF!</v>
      </c>
      <c r="D28" s="82">
        <f>'Rate Class Demand Model'!D29</f>
        <v>3451926.5316195879</v>
      </c>
      <c r="E28" s="82">
        <f>'Rate Class Demand Model'!E29</f>
        <v>172800</v>
      </c>
      <c r="F28" s="82">
        <f>'Rate Class Demand Model'!F29</f>
        <v>72330.202499999999</v>
      </c>
      <c r="G28" s="82">
        <f>'Rate Class Demand Model'!G29</f>
        <v>245130.20250000001</v>
      </c>
      <c r="H28" s="82">
        <f>ROUND(H25*('Rate Class Energy Model'!F49+'Rate Class Energy Model'!F52),0)</f>
        <v>0</v>
      </c>
      <c r="I28" s="82">
        <f>ROUND(I25*('Rate Class Energy Model'!G49+'Rate Class Energy Model'!G52),0)</f>
        <v>0</v>
      </c>
      <c r="J28" s="82">
        <f>ROUND(J25*('Rate Class Energy Model'!H49+'Rate Class Energy Model'!H52),0)</f>
        <v>0</v>
      </c>
      <c r="K28" s="82">
        <f>ROUND(K25*('Rate Class Energy Model'!I49+'Rate Class Energy Model'!I52),0)</f>
        <v>0</v>
      </c>
      <c r="L28" s="83">
        <f>SUM(D28:F28)</f>
        <v>3697056.734119588</v>
      </c>
    </row>
    <row r="29" spans="1:12" ht="18.75" x14ac:dyDescent="0.3">
      <c r="A29" s="238" t="s">
        <v>181</v>
      </c>
      <c r="B29" s="239"/>
      <c r="C29" s="239"/>
      <c r="D29" s="239"/>
      <c r="E29" s="239"/>
      <c r="F29" s="239"/>
      <c r="G29" s="239"/>
      <c r="H29" s="239"/>
      <c r="I29" s="239"/>
      <c r="J29" s="239"/>
      <c r="K29" s="239"/>
      <c r="L29" s="240"/>
    </row>
    <row r="30" spans="1:12" x14ac:dyDescent="0.25">
      <c r="A30" s="175">
        <v>2021</v>
      </c>
      <c r="B30" s="67" t="e">
        <f>ROUND(B28*('Rate Class Energy Model'!B51+'Rate Class Energy Model'!B54),0)</f>
        <v>#REF!</v>
      </c>
      <c r="C30" s="67" t="e">
        <f>ROUND(C28*('Rate Class Energy Model'!C51+'Rate Class Energy Model'!C54),0)</f>
        <v>#REF!</v>
      </c>
      <c r="D30" s="308">
        <f>D25*D27</f>
        <v>993090.30903527536</v>
      </c>
      <c r="E30" s="308">
        <f t="shared" ref="E30:G30" si="9">E25*E27</f>
        <v>172800</v>
      </c>
      <c r="F30" s="308">
        <f t="shared" si="9"/>
        <v>67206.213688299802</v>
      </c>
      <c r="G30" s="308">
        <f t="shared" si="9"/>
        <v>240148.78618545542</v>
      </c>
      <c r="H30" s="67">
        <f>ROUND(H28*('Rate Class Energy Model'!F51+'Rate Class Energy Model'!F54),0)</f>
        <v>0</v>
      </c>
      <c r="I30" s="67">
        <f>ROUND(I28*('Rate Class Energy Model'!G51+'Rate Class Energy Model'!G54),0)</f>
        <v>0</v>
      </c>
      <c r="J30" s="67">
        <f>ROUND(J28*('Rate Class Energy Model'!H51+'Rate Class Energy Model'!H54),0)</f>
        <v>0</v>
      </c>
      <c r="K30" s="67">
        <f>ROUND(K28*('Rate Class Energy Model'!I51+'Rate Class Energy Model'!I54),0)</f>
        <v>0</v>
      </c>
      <c r="L30" s="176">
        <f>SUM(D30:F30)</f>
        <v>1233096.5227235751</v>
      </c>
    </row>
    <row r="31" spans="1:12" x14ac:dyDescent="0.25">
      <c r="A31" s="177">
        <v>2022</v>
      </c>
      <c r="B31" s="82" t="e">
        <f>ROUND(B28*('Rate Class Energy Model'!B52+'Rate Class Energy Model'!B55),0)</f>
        <v>#REF!</v>
      </c>
      <c r="C31" s="82" t="e">
        <f>ROUND(C28*('Rate Class Energy Model'!C52+'Rate Class Energy Model'!C55),0)</f>
        <v>#REF!</v>
      </c>
      <c r="D31" s="309">
        <f>D25*D28+1474</f>
        <v>980916.7510158706</v>
      </c>
      <c r="E31" s="309">
        <f t="shared" ref="E31:G31" si="10">E25*E28</f>
        <v>172800</v>
      </c>
      <c r="F31" s="309">
        <f t="shared" si="10"/>
        <v>67206.213688299802</v>
      </c>
      <c r="G31" s="309">
        <f t="shared" si="10"/>
        <v>240148.78618545542</v>
      </c>
      <c r="H31" s="82">
        <f>ROUND(H28*('Rate Class Energy Model'!F52+'Rate Class Energy Model'!F55),0)</f>
        <v>0</v>
      </c>
      <c r="I31" s="82">
        <f>ROUND(I28*('Rate Class Energy Model'!G52+'Rate Class Energy Model'!G55),0)</f>
        <v>0</v>
      </c>
      <c r="J31" s="82">
        <f>ROUND(J28*('Rate Class Energy Model'!H52+'Rate Class Energy Model'!H55),0)</f>
        <v>0</v>
      </c>
      <c r="K31" s="82">
        <f>ROUND(K28*('Rate Class Energy Model'!I52+'Rate Class Energy Model'!I55),0)</f>
        <v>0</v>
      </c>
      <c r="L31" s="83">
        <f>SUM(D31:F31)</f>
        <v>1220922.9647041704</v>
      </c>
    </row>
    <row r="32" spans="1:12" ht="18.75" x14ac:dyDescent="0.3">
      <c r="A32" s="238" t="s">
        <v>189</v>
      </c>
      <c r="B32" s="239"/>
      <c r="C32" s="239"/>
      <c r="D32" s="239"/>
      <c r="E32" s="239"/>
      <c r="F32" s="239"/>
      <c r="G32" s="239"/>
      <c r="H32" s="239"/>
      <c r="I32" s="239"/>
      <c r="J32" s="239"/>
      <c r="K32" s="239"/>
      <c r="L32" s="240"/>
    </row>
    <row r="33" spans="1:12" x14ac:dyDescent="0.25">
      <c r="A33" s="175">
        <v>2021</v>
      </c>
      <c r="B33" s="67" t="e">
        <f>ROUND(B31*('Rate Class Energy Model'!B54+'Rate Class Energy Model'!B57),0)</f>
        <v>#REF!</v>
      </c>
      <c r="C33" s="67" t="e">
        <f>ROUND(C31*('Rate Class Energy Model'!C54+'Rate Class Energy Model'!C57),0)</f>
        <v>#REF!</v>
      </c>
      <c r="D33" s="308">
        <v>0</v>
      </c>
      <c r="E33" s="308">
        <v>0</v>
      </c>
      <c r="F33" s="308">
        <v>0</v>
      </c>
      <c r="G33" s="308">
        <v>0</v>
      </c>
      <c r="H33" s="67">
        <f>ROUND(H31*('Rate Class Energy Model'!F54+'Rate Class Energy Model'!F57),0)</f>
        <v>0</v>
      </c>
      <c r="I33" s="67">
        <f>ROUND(I31*('Rate Class Energy Model'!G54+'Rate Class Energy Model'!G57),0)</f>
        <v>0</v>
      </c>
      <c r="J33" s="67">
        <f>ROUND(J31*('Rate Class Energy Model'!H54+'Rate Class Energy Model'!H57),0)</f>
        <v>0</v>
      </c>
      <c r="K33" s="67">
        <f>ROUND(K31*('Rate Class Energy Model'!I54+'Rate Class Energy Model'!I57),0)</f>
        <v>0</v>
      </c>
      <c r="L33" s="176">
        <f>SUM(D33:F33)</f>
        <v>0</v>
      </c>
    </row>
    <row r="34" spans="1:12" x14ac:dyDescent="0.25">
      <c r="A34" s="177">
        <v>2022</v>
      </c>
      <c r="B34" s="82" t="e">
        <f>ROUND(B31*('Rate Class Energy Model'!B55+'Rate Class Energy Model'!B58),0)</f>
        <v>#REF!</v>
      </c>
      <c r="C34" s="82" t="e">
        <f>ROUND(C31*('Rate Class Energy Model'!C55+'Rate Class Energy Model'!C58),0)</f>
        <v>#REF!</v>
      </c>
      <c r="D34" s="309">
        <f>D33</f>
        <v>0</v>
      </c>
      <c r="E34" s="309">
        <v>0</v>
      </c>
      <c r="F34" s="309">
        <v>0</v>
      </c>
      <c r="G34" s="309">
        <v>0</v>
      </c>
      <c r="H34" s="82">
        <f>ROUND(H31*('Rate Class Energy Model'!F55+'Rate Class Energy Model'!F58),0)</f>
        <v>0</v>
      </c>
      <c r="I34" s="82">
        <f>ROUND(I31*('Rate Class Energy Model'!G55+'Rate Class Energy Model'!G58),0)</f>
        <v>0</v>
      </c>
      <c r="J34" s="82">
        <f>ROUND(J31*('Rate Class Energy Model'!H55+'Rate Class Energy Model'!H58),0)</f>
        <v>0</v>
      </c>
      <c r="K34" s="82">
        <f>ROUND(K31*('Rate Class Energy Model'!I55+'Rate Class Energy Model'!I58),0)</f>
        <v>0</v>
      </c>
      <c r="L34" s="83">
        <f>SUM(D34:F34)</f>
        <v>0</v>
      </c>
    </row>
    <row r="35" spans="1:12" ht="18.75" x14ac:dyDescent="0.3">
      <c r="A35" s="238" t="s">
        <v>190</v>
      </c>
      <c r="B35" s="239"/>
      <c r="C35" s="239"/>
      <c r="D35" s="239"/>
      <c r="E35" s="239"/>
      <c r="F35" s="239"/>
      <c r="G35" s="239"/>
      <c r="H35" s="239"/>
      <c r="I35" s="239"/>
      <c r="J35" s="239"/>
      <c r="K35" s="239"/>
      <c r="L35" s="240"/>
    </row>
    <row r="36" spans="1:12" x14ac:dyDescent="0.25">
      <c r="A36" s="175">
        <v>2021</v>
      </c>
      <c r="B36" s="67" t="e">
        <f>ROUND(B34*('Rate Class Energy Model'!B57+'Rate Class Energy Model'!B60),0)</f>
        <v>#REF!</v>
      </c>
      <c r="C36" s="67" t="e">
        <f>ROUND(C34*('Rate Class Energy Model'!C57+'Rate Class Energy Model'!C60),0)</f>
        <v>#REF!</v>
      </c>
      <c r="D36" s="308">
        <f>D30+D33</f>
        <v>993090.30903527536</v>
      </c>
      <c r="E36" s="308">
        <f t="shared" ref="E36:G36" si="11">E30+E33</f>
        <v>172800</v>
      </c>
      <c r="F36" s="308">
        <f t="shared" si="11"/>
        <v>67206.213688299802</v>
      </c>
      <c r="G36" s="308">
        <f t="shared" si="11"/>
        <v>240148.78618545542</v>
      </c>
      <c r="H36" s="67">
        <f>ROUND(H34*('Rate Class Energy Model'!F57+'Rate Class Energy Model'!F60),0)</f>
        <v>0</v>
      </c>
      <c r="I36" s="67">
        <f>ROUND(I34*('Rate Class Energy Model'!G57+'Rate Class Energy Model'!G60),0)</f>
        <v>0</v>
      </c>
      <c r="J36" s="67">
        <f>ROUND(J34*('Rate Class Energy Model'!H57+'Rate Class Energy Model'!H60),0)</f>
        <v>0</v>
      </c>
      <c r="K36" s="67">
        <f>ROUND(K34*('Rate Class Energy Model'!I57+'Rate Class Energy Model'!I60),0)</f>
        <v>0</v>
      </c>
      <c r="L36" s="176">
        <f>SUM(D36:F36)</f>
        <v>1233096.5227235751</v>
      </c>
    </row>
    <row r="37" spans="1:12" x14ac:dyDescent="0.25">
      <c r="A37" s="177">
        <v>2022</v>
      </c>
      <c r="B37" s="82" t="e">
        <f>ROUND(B34*('Rate Class Energy Model'!B58+'Rate Class Energy Model'!B61),0)</f>
        <v>#REF!</v>
      </c>
      <c r="C37" s="82" t="e">
        <f>ROUND(C34*('Rate Class Energy Model'!C58+'Rate Class Energy Model'!C61),0)</f>
        <v>#REF!</v>
      </c>
      <c r="D37" s="82">
        <f>D31+D34</f>
        <v>980916.7510158706</v>
      </c>
      <c r="E37" s="82">
        <f t="shared" ref="E37:G37" si="12">E31+E34</f>
        <v>172800</v>
      </c>
      <c r="F37" s="82">
        <f t="shared" si="12"/>
        <v>67206.213688299802</v>
      </c>
      <c r="G37" s="82">
        <f t="shared" si="12"/>
        <v>240148.78618545542</v>
      </c>
      <c r="H37" s="82">
        <f>ROUND(H34*('Rate Class Energy Model'!F58+'Rate Class Energy Model'!F61),0)</f>
        <v>0</v>
      </c>
      <c r="I37" s="82">
        <f>ROUND(I34*('Rate Class Energy Model'!G58+'Rate Class Energy Model'!G61),0)</f>
        <v>0</v>
      </c>
      <c r="J37" s="82">
        <f>ROUND(J34*('Rate Class Energy Model'!H58+'Rate Class Energy Model'!H61),0)</f>
        <v>0</v>
      </c>
      <c r="K37" s="82">
        <f>ROUND(K34*('Rate Class Energy Model'!I58+'Rate Class Energy Model'!I61),0)</f>
        <v>0</v>
      </c>
      <c r="L37" s="83">
        <f>SUM(D37:F37)</f>
        <v>1220922.9647041704</v>
      </c>
    </row>
    <row r="41" spans="1:12" x14ac:dyDescent="0.25">
      <c r="D41" s="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7"/>
    <pageSetUpPr fitToPage="1"/>
  </sheetPr>
  <dimension ref="A1:G102"/>
  <sheetViews>
    <sheetView zoomScaleNormal="100" workbookViewId="0">
      <pane xSplit="1" ySplit="7" topLeftCell="B8" activePane="bottomRight" state="frozen"/>
      <selection activeCell="A2" sqref="A2"/>
      <selection pane="topRight" activeCell="A2" sqref="A2"/>
      <selection pane="bottomLeft" activeCell="A2" sqref="A2"/>
      <selection pane="bottomRight" activeCell="B60" sqref="B60:B102"/>
    </sheetView>
  </sheetViews>
  <sheetFormatPr defaultRowHeight="15" x14ac:dyDescent="0.25"/>
  <cols>
    <col min="1" max="1" width="60.85546875" bestFit="1" customWidth="1"/>
    <col min="2" max="2" width="14.28515625" bestFit="1" customWidth="1"/>
    <col min="3" max="3" width="15" bestFit="1" customWidth="1"/>
    <col min="4" max="5" width="14.28515625" bestFit="1" customWidth="1"/>
    <col min="6" max="6" width="15" bestFit="1" customWidth="1"/>
    <col min="7" max="7" width="14.28515625" bestFit="1" customWidth="1"/>
  </cols>
  <sheetData>
    <row r="1" spans="1:7" ht="18.75" x14ac:dyDescent="0.3">
      <c r="A1" s="24" t="str">
        <f>Admin!B3</f>
        <v>London Hydro</v>
      </c>
      <c r="B1" s="25"/>
      <c r="C1" s="25"/>
      <c r="D1" s="25"/>
      <c r="E1" s="25"/>
      <c r="F1" s="25"/>
      <c r="G1" s="25"/>
    </row>
    <row r="2" spans="1:7" ht="18.75" x14ac:dyDescent="0.3">
      <c r="A2" s="24" t="str">
        <f>Admin!B5</f>
        <v>EB-2021-0041</v>
      </c>
      <c r="B2" s="25"/>
      <c r="C2" s="25"/>
      <c r="D2" s="25"/>
      <c r="E2" s="25"/>
      <c r="F2" s="25"/>
      <c r="G2" s="25"/>
    </row>
    <row r="3" spans="1:7" ht="18.75" x14ac:dyDescent="0.3">
      <c r="A3" s="24" t="str">
        <f>Admin!B7</f>
        <v>2022 Load Forecast</v>
      </c>
      <c r="B3" s="25"/>
      <c r="C3" s="25"/>
      <c r="D3" s="25"/>
      <c r="E3" s="25"/>
      <c r="F3" s="25"/>
      <c r="G3" s="25"/>
    </row>
    <row r="4" spans="1:7" ht="18.75" x14ac:dyDescent="0.3">
      <c r="A4" s="24"/>
      <c r="B4" s="25"/>
      <c r="C4" s="25"/>
      <c r="D4" s="25"/>
      <c r="E4" s="25"/>
      <c r="F4" s="25"/>
      <c r="G4" s="25"/>
    </row>
    <row r="5" spans="1:7" ht="19.5" thickBot="1" x14ac:dyDescent="0.35">
      <c r="A5" s="26" t="s">
        <v>70</v>
      </c>
      <c r="B5" s="27"/>
      <c r="C5" s="27"/>
      <c r="D5" s="27"/>
      <c r="E5" s="27"/>
      <c r="F5" s="27"/>
      <c r="G5" s="27"/>
    </row>
    <row r="7" spans="1:7" ht="30" x14ac:dyDescent="0.25">
      <c r="A7" s="13" t="s">
        <v>23</v>
      </c>
      <c r="B7" s="14" t="s">
        <v>194</v>
      </c>
      <c r="C7" s="14" t="s">
        <v>195</v>
      </c>
      <c r="D7" s="14" t="s">
        <v>196</v>
      </c>
      <c r="E7" s="14" t="s">
        <v>197</v>
      </c>
      <c r="F7" s="15" t="s">
        <v>198</v>
      </c>
      <c r="G7" s="15" t="s">
        <v>199</v>
      </c>
    </row>
    <row r="8" spans="1:7" x14ac:dyDescent="0.25">
      <c r="A8" s="267" t="s">
        <v>34</v>
      </c>
      <c r="B8" s="268"/>
      <c r="C8" s="268"/>
      <c r="D8" s="268"/>
      <c r="E8" s="268"/>
      <c r="F8" s="268"/>
      <c r="G8" s="268"/>
    </row>
    <row r="9" spans="1:7" x14ac:dyDescent="0.25">
      <c r="A9" s="11" t="s">
        <v>24</v>
      </c>
      <c r="B9" s="37">
        <f>'Forecast Accuracy'!$B$9</f>
        <v>3178422069.2000003</v>
      </c>
      <c r="C9" s="37">
        <f>'Forecast Accuracy'!$B$10</f>
        <v>3310791494.5999994</v>
      </c>
      <c r="D9" s="37">
        <f>'Forecast Accuracy'!$B$11</f>
        <v>3211003829</v>
      </c>
      <c r="E9" s="37">
        <f>'Forecast Accuracy'!$B$12</f>
        <v>3163553020.4999995</v>
      </c>
      <c r="F9" s="37"/>
      <c r="G9" s="37">
        <v>0</v>
      </c>
    </row>
    <row r="10" spans="1:7" x14ac:dyDescent="0.25">
      <c r="A10" s="32" t="s">
        <v>25</v>
      </c>
      <c r="B10" s="5">
        <f>'Forecast Accuracy'!$C$9</f>
        <v>3187115326.5370069</v>
      </c>
      <c r="C10" s="5">
        <f>'Forecast Accuracy'!$C$10</f>
        <v>3289604488.1284838</v>
      </c>
      <c r="D10" s="5">
        <f>'Forecast Accuracy'!$C$11</f>
        <v>3208288134.0298901</v>
      </c>
      <c r="E10" s="5">
        <f>'Forecast Accuracy'!$C$12</f>
        <v>3178762464.6046219</v>
      </c>
      <c r="F10" s="5">
        <f>'Forecast Accuracy'!$C$13</f>
        <v>3224846581.5962806</v>
      </c>
      <c r="G10" s="5">
        <f>'Forecast Accuracy'!$C$14</f>
        <v>3224846581.5962806</v>
      </c>
    </row>
    <row r="11" spans="1:7" x14ac:dyDescent="0.25">
      <c r="A11" s="32" t="s">
        <v>26</v>
      </c>
      <c r="B11" s="69">
        <f>(B9-B10)/B9</f>
        <v>-2.7350858846744153E-3</v>
      </c>
      <c r="C11" s="69">
        <f>(C9-C10)/C9</f>
        <v>6.3993780659616596E-3</v>
      </c>
      <c r="D11" s="69">
        <f>(D9-D10)/D9</f>
        <v>8.4574641287665049E-4</v>
      </c>
      <c r="E11" s="69">
        <f>(E9-E10)/E9</f>
        <v>-4.8077095613900953E-3</v>
      </c>
      <c r="F11" s="31"/>
      <c r="G11" s="31"/>
    </row>
    <row r="12" spans="1:7" x14ac:dyDescent="0.25">
      <c r="A12" s="32"/>
      <c r="B12" s="228"/>
      <c r="C12" s="228"/>
      <c r="D12" s="228"/>
      <c r="E12" s="228"/>
      <c r="F12" s="228"/>
      <c r="G12" s="228"/>
    </row>
    <row r="13" spans="1:7" x14ac:dyDescent="0.25">
      <c r="A13" s="32" t="s">
        <v>27</v>
      </c>
      <c r="B13" s="5">
        <f>'Forecast Accuracy'!$I$9</f>
        <v>3070375149</v>
      </c>
      <c r="C13" s="5">
        <f>'Forecast Accuracy'!$I$10</f>
        <v>3215830065.2000003</v>
      </c>
      <c r="D13" s="5">
        <f>'Forecast Accuracy'!$I$11</f>
        <v>3120062339.9400005</v>
      </c>
      <c r="E13" s="5">
        <f>'Forecast Accuracy'!$I$12</f>
        <v>3082955257.4399996</v>
      </c>
      <c r="F13" s="331">
        <f>'Rate Class Energy Model'!J42</f>
        <v>3140370612.1299844</v>
      </c>
      <c r="G13" s="331">
        <f>'Rate Class Energy Model'!J43</f>
        <v>3140370612.1299844</v>
      </c>
    </row>
    <row r="14" spans="1:7" x14ac:dyDescent="0.25">
      <c r="A14" s="32"/>
      <c r="B14" s="229"/>
      <c r="C14" s="229"/>
      <c r="D14" s="229"/>
      <c r="E14" s="229"/>
      <c r="F14" s="229"/>
      <c r="G14" s="229"/>
    </row>
    <row r="15" spans="1:7" x14ac:dyDescent="0.25">
      <c r="A15" s="267" t="s">
        <v>28</v>
      </c>
      <c r="B15" s="269"/>
      <c r="C15" s="269"/>
      <c r="D15" s="269"/>
      <c r="E15" s="269"/>
      <c r="F15" s="269"/>
      <c r="G15" s="269"/>
    </row>
    <row r="16" spans="1:7" x14ac:dyDescent="0.25">
      <c r="A16" s="33" t="s">
        <v>2</v>
      </c>
      <c r="B16" s="230"/>
      <c r="C16" s="230"/>
      <c r="D16" s="230"/>
      <c r="E16" s="230"/>
      <c r="F16" s="230"/>
      <c r="G16" s="230"/>
    </row>
    <row r="17" spans="1:7" x14ac:dyDescent="0.25">
      <c r="A17" s="32" t="s">
        <v>29</v>
      </c>
      <c r="B17" s="5">
        <f>'Rate Class Customer Model'!$B$10</f>
        <v>142206</v>
      </c>
      <c r="C17" s="5">
        <f>'Rate Class Customer Model'!$B$11</f>
        <v>143918</v>
      </c>
      <c r="D17" s="5">
        <f>'Rate Class Customer Model'!$B$12</f>
        <v>145514</v>
      </c>
      <c r="E17" s="5">
        <f>'Rate Class Customer Model'!$B$13</f>
        <v>146977</v>
      </c>
      <c r="F17" s="331">
        <f>'Rate Class Customer Model'!B33</f>
        <v>148601.06295987862</v>
      </c>
      <c r="G17" s="331">
        <f>'Rate Class Customer Model'!B34</f>
        <v>150243</v>
      </c>
    </row>
    <row r="18" spans="1:7" x14ac:dyDescent="0.25">
      <c r="A18" s="32" t="s">
        <v>14</v>
      </c>
      <c r="B18" s="5">
        <f>'Rate Class Energy Model'!$B$10</f>
        <v>1041232119</v>
      </c>
      <c r="C18" s="5">
        <f>'Rate Class Energy Model'!$B$11</f>
        <v>1134273426.7</v>
      </c>
      <c r="D18" s="5">
        <f>'Rate Class Energy Model'!$B$12</f>
        <v>1099830560.04</v>
      </c>
      <c r="E18" s="5">
        <f>'Rate Class Energy Model'!$B$13</f>
        <v>1174570750.6599998</v>
      </c>
      <c r="F18" s="331">
        <f>'Rate Class Energy Model'!B42</f>
        <v>1230987469.6565385</v>
      </c>
      <c r="G18" s="331">
        <f>'Rate Class Energy Model'!B43</f>
        <v>1262245325.811132</v>
      </c>
    </row>
    <row r="19" spans="1:7" x14ac:dyDescent="0.25">
      <c r="A19" s="32" t="s">
        <v>30</v>
      </c>
      <c r="B19" s="227"/>
      <c r="C19" s="227"/>
      <c r="D19" s="227"/>
      <c r="E19" s="227"/>
      <c r="F19" s="227"/>
      <c r="G19" s="227"/>
    </row>
    <row r="20" spans="1:7" x14ac:dyDescent="0.25">
      <c r="A20" s="33" t="s">
        <v>3</v>
      </c>
      <c r="B20" s="230"/>
      <c r="C20" s="230"/>
      <c r="D20" s="230"/>
      <c r="E20" s="230"/>
      <c r="F20" s="230"/>
      <c r="G20" s="230"/>
    </row>
    <row r="21" spans="1:7" x14ac:dyDescent="0.25">
      <c r="A21" s="32" t="s">
        <v>29</v>
      </c>
      <c r="B21" s="5">
        <f>'Rate Class Customer Model'!$C$10</f>
        <v>12575</v>
      </c>
      <c r="C21" s="5">
        <f>'Rate Class Customer Model'!$C$11</f>
        <v>12634</v>
      </c>
      <c r="D21" s="5">
        <f>'Rate Class Customer Model'!$C$12</f>
        <v>12771</v>
      </c>
      <c r="E21" s="5">
        <f>'Rate Class Customer Model'!$C$13</f>
        <v>12891</v>
      </c>
      <c r="F21" s="331">
        <f>'Rate Class Customer Model'!C33</f>
        <v>12980.848331278936</v>
      </c>
      <c r="G21" s="331">
        <f>'Rate Class Customer Model'!C34</f>
        <v>13071</v>
      </c>
    </row>
    <row r="22" spans="1:7" x14ac:dyDescent="0.25">
      <c r="A22" s="32" t="s">
        <v>14</v>
      </c>
      <c r="B22" s="5">
        <f>'Rate Class Energy Model'!$C$10</f>
        <v>384261420</v>
      </c>
      <c r="C22" s="5">
        <f>'Rate Class Energy Model'!$C$11</f>
        <v>396936107.69999999</v>
      </c>
      <c r="D22" s="5">
        <f>'Rate Class Energy Model'!$C$12</f>
        <v>395444421.75</v>
      </c>
      <c r="E22" s="5">
        <f>'Rate Class Energy Model'!$C$13</f>
        <v>374492024.29000002</v>
      </c>
      <c r="F22" s="331">
        <f>'Rate Class Energy Model'!C42</f>
        <v>380432613.87734354</v>
      </c>
      <c r="G22" s="331">
        <f>'Rate Class Energy Model'!C43</f>
        <v>378149495.88686538</v>
      </c>
    </row>
    <row r="23" spans="1:7" x14ac:dyDescent="0.25">
      <c r="A23" s="32" t="s">
        <v>30</v>
      </c>
      <c r="B23" s="227"/>
      <c r="C23" s="227"/>
      <c r="D23" s="227"/>
      <c r="E23" s="227"/>
      <c r="F23" s="227"/>
      <c r="G23" s="227"/>
    </row>
    <row r="24" spans="1:7" x14ac:dyDescent="0.25">
      <c r="A24" s="33" t="s">
        <v>4</v>
      </c>
      <c r="B24" s="230"/>
      <c r="C24" s="230"/>
      <c r="D24" s="230"/>
      <c r="E24" s="230"/>
      <c r="F24" s="230"/>
      <c r="G24" s="230"/>
    </row>
    <row r="25" spans="1:7" x14ac:dyDescent="0.25">
      <c r="A25" s="32" t="s">
        <v>29</v>
      </c>
      <c r="B25" s="5">
        <f>'Rate Class Customer Model'!$D$10</f>
        <v>1598</v>
      </c>
      <c r="C25" s="5">
        <f>'Rate Class Customer Model'!$D$11</f>
        <v>1615</v>
      </c>
      <c r="D25" s="5">
        <f>'Rate Class Customer Model'!$D$12</f>
        <v>1572</v>
      </c>
      <c r="E25" s="5">
        <f>'Rate Class Customer Model'!$D$13</f>
        <v>1534</v>
      </c>
      <c r="F25" s="331">
        <f>'Rate Class Customer Model'!D33</f>
        <v>1524.284044065904</v>
      </c>
      <c r="G25" s="331">
        <f>'Rate Class Customer Model'!D34</f>
        <v>1511</v>
      </c>
    </row>
    <row r="26" spans="1:7" x14ac:dyDescent="0.25">
      <c r="A26" s="32" t="s">
        <v>14</v>
      </c>
      <c r="B26" s="5">
        <f>'Rate Class Energy Model'!$D$10</f>
        <v>1456743101</v>
      </c>
      <c r="C26" s="5">
        <f>'Rate Class Energy Model'!$D$11</f>
        <v>1497045852.3999999</v>
      </c>
      <c r="D26" s="5">
        <f>'Rate Class Energy Model'!$D$12</f>
        <v>1456298256</v>
      </c>
      <c r="E26" s="5">
        <f>'Rate Class Energy Model'!$D$13</f>
        <v>1371744686.8099999</v>
      </c>
      <c r="F26" s="331">
        <f>'Rate Class Energy Model'!D42</f>
        <v>1375278188.9321187</v>
      </c>
      <c r="G26" s="331">
        <f>'Rate Class Energy Model'!D43</f>
        <v>1356339581.2559984</v>
      </c>
    </row>
    <row r="27" spans="1:7" x14ac:dyDescent="0.25">
      <c r="A27" s="32" t="s">
        <v>30</v>
      </c>
      <c r="B27" s="5">
        <f>'Rate Class Demand Model'!$D$10</f>
        <v>3725835.5999999996</v>
      </c>
      <c r="C27" s="5">
        <f>'Rate Class Demand Model'!$D$11</f>
        <v>3758358.4299999997</v>
      </c>
      <c r="D27" s="5">
        <f>'Rate Class Demand Model'!$D$12</f>
        <v>3668056.82</v>
      </c>
      <c r="E27" s="5">
        <f>'Rate Class Demand Model'!$D$13</f>
        <v>3432956.5</v>
      </c>
      <c r="F27" s="331">
        <f>'Rate Class Demand Model'!D22</f>
        <v>3472577</v>
      </c>
      <c r="G27" s="331">
        <f>'Rate Class Demand Model'!D23</f>
        <v>3424757</v>
      </c>
    </row>
    <row r="28" spans="1:7" x14ac:dyDescent="0.25">
      <c r="A28" s="33" t="s">
        <v>143</v>
      </c>
      <c r="B28" s="230"/>
      <c r="C28" s="230"/>
      <c r="D28" s="230"/>
      <c r="E28" s="230"/>
      <c r="F28" s="230"/>
      <c r="G28" s="230"/>
    </row>
    <row r="29" spans="1:7" x14ac:dyDescent="0.25">
      <c r="A29" s="32" t="s">
        <v>29</v>
      </c>
      <c r="B29" s="5">
        <f>'Rate Class Customer Model'!$E$10</f>
        <v>6</v>
      </c>
      <c r="C29" s="5">
        <f>'Rate Class Customer Model'!$E$11</f>
        <v>7</v>
      </c>
      <c r="D29" s="5">
        <f>'Rate Class Customer Model'!$E$12</f>
        <v>7</v>
      </c>
      <c r="E29" s="5">
        <f>'Rate Class Customer Model'!$E$13</f>
        <v>8</v>
      </c>
      <c r="F29" s="331">
        <f>'Rate Class Customer Model'!E33</f>
        <v>8.5967014501137751</v>
      </c>
      <c r="G29" s="331">
        <f>'Rate Class Customer Model'!E34</f>
        <v>9</v>
      </c>
    </row>
    <row r="30" spans="1:7" x14ac:dyDescent="0.25">
      <c r="A30" s="32" t="s">
        <v>14</v>
      </c>
      <c r="B30" s="5">
        <f>'Rate Class Energy Model'!$E$10</f>
        <v>44968462</v>
      </c>
      <c r="C30" s="5">
        <f>'Rate Class Energy Model'!$E$11</f>
        <v>48833253</v>
      </c>
      <c r="D30" s="5">
        <f>'Rate Class Energy Model'!$E$12</f>
        <v>35020139.149999999</v>
      </c>
      <c r="E30" s="5">
        <f>'Rate Class Energy Model'!$E$13</f>
        <v>36277790.609999999</v>
      </c>
      <c r="F30" s="331">
        <f>'Rate Class Energy Model'!E42</f>
        <v>34027713.451067165</v>
      </c>
      <c r="G30" s="331">
        <f>'Rate Class Energy Model'!E43</f>
        <v>30765107.162167553</v>
      </c>
    </row>
    <row r="31" spans="1:7" x14ac:dyDescent="0.25">
      <c r="A31" s="32" t="s">
        <v>30</v>
      </c>
      <c r="B31" s="5">
        <f>'Rate Class Demand Model'!$G$10</f>
        <v>228427.74</v>
      </c>
      <c r="C31" s="5">
        <f>'Rate Class Demand Model'!$G$11</f>
        <v>265044.87</v>
      </c>
      <c r="D31" s="5">
        <f>'Rate Class Demand Model'!$G$12</f>
        <v>228590.88</v>
      </c>
      <c r="E31" s="5">
        <f>'Rate Class Demand Model'!$G$13</f>
        <v>242057.32</v>
      </c>
      <c r="F31" s="331">
        <f>'Rate Class Demand Model'!G22</f>
        <v>245130.20250000001</v>
      </c>
      <c r="G31" s="331">
        <f>'Rate Class Demand Model'!G29</f>
        <v>245130.20250000001</v>
      </c>
    </row>
    <row r="32" spans="1:7" x14ac:dyDescent="0.25">
      <c r="A32" s="33" t="s">
        <v>5</v>
      </c>
      <c r="B32" s="230"/>
      <c r="C32" s="230"/>
      <c r="D32" s="230"/>
      <c r="E32" s="230"/>
      <c r="F32" s="230"/>
      <c r="G32" s="230"/>
    </row>
    <row r="33" spans="1:7" x14ac:dyDescent="0.25">
      <c r="A33" s="32" t="s">
        <v>29</v>
      </c>
      <c r="B33" s="5">
        <f>'Rate Class Customer Model'!$F$10</f>
        <v>1</v>
      </c>
      <c r="C33" s="5">
        <f>'Rate Class Customer Model'!$F$11</f>
        <v>1</v>
      </c>
      <c r="D33" s="5">
        <f>'Rate Class Customer Model'!$F$12</f>
        <v>1</v>
      </c>
      <c r="E33" s="5">
        <f>'Rate Class Customer Model'!$F$13</f>
        <v>1</v>
      </c>
      <c r="F33" s="331">
        <f>'Rate Class Customer Model'!F33</f>
        <v>1</v>
      </c>
      <c r="G33" s="331">
        <f>'Rate Class Customer Model'!F34</f>
        <v>1</v>
      </c>
    </row>
    <row r="34" spans="1:7" x14ac:dyDescent="0.25">
      <c r="A34" s="32" t="s">
        <v>14</v>
      </c>
      <c r="B34" s="5">
        <f>'Rate Class Energy Model'!$F$10</f>
        <v>117005431</v>
      </c>
      <c r="C34" s="5">
        <f>'Rate Class Energy Model'!$F$11</f>
        <v>116791074</v>
      </c>
      <c r="D34" s="5">
        <f>'Rate Class Energy Model'!$F$12</f>
        <v>110801180.53</v>
      </c>
      <c r="E34" s="5">
        <f>'Rate Class Energy Model'!$F$13</f>
        <v>103009408.48</v>
      </c>
      <c r="F34" s="331">
        <f>'Rate Class Energy Model'!F42</f>
        <v>97901443.054430395</v>
      </c>
      <c r="G34" s="331">
        <f>'Rate Class Energy Model'!F43</f>
        <v>92148673.013821095</v>
      </c>
    </row>
    <row r="35" spans="1:7" x14ac:dyDescent="0.25">
      <c r="A35" s="32" t="s">
        <v>30</v>
      </c>
      <c r="B35" s="5">
        <f>'Rate Class Demand Model'!$H$10</f>
        <v>227574.3</v>
      </c>
      <c r="C35" s="5">
        <f>'Rate Class Demand Model'!$H$11</f>
        <v>221495.1</v>
      </c>
      <c r="D35" s="5">
        <f>'Rate Class Demand Model'!$H$12</f>
        <v>216188.64</v>
      </c>
      <c r="E35" s="5">
        <f>'Rate Class Demand Model'!$H$13</f>
        <v>189813.83</v>
      </c>
      <c r="F35" s="331">
        <f>'Rate Class Demand Model'!H22</f>
        <v>186013</v>
      </c>
      <c r="G35" s="331">
        <f>'Rate Class Demand Model'!H29</f>
        <v>175082</v>
      </c>
    </row>
    <row r="36" spans="1:7" x14ac:dyDescent="0.25">
      <c r="A36" s="33" t="s">
        <v>7</v>
      </c>
      <c r="B36" s="230"/>
      <c r="C36" s="230"/>
      <c r="D36" s="230"/>
      <c r="E36" s="230"/>
      <c r="F36" s="230"/>
      <c r="G36" s="230"/>
    </row>
    <row r="37" spans="1:7" x14ac:dyDescent="0.25">
      <c r="A37" s="32" t="s">
        <v>33</v>
      </c>
      <c r="B37" s="5">
        <f>'Rate Class Customer Model'!$G$10</f>
        <v>36184</v>
      </c>
      <c r="C37" s="5">
        <f>'Rate Class Customer Model'!$G$11</f>
        <v>36831</v>
      </c>
      <c r="D37" s="5">
        <f>'Rate Class Customer Model'!$G$12</f>
        <v>37110</v>
      </c>
      <c r="E37" s="5">
        <f>'Rate Class Customer Model'!$G$13</f>
        <v>37806</v>
      </c>
      <c r="F37" s="331">
        <f>'Rate Class Customer Model'!G33</f>
        <v>38348.145033043264</v>
      </c>
      <c r="G37" s="331">
        <f>'Rate Class Customer Model'!G34</f>
        <v>38898</v>
      </c>
    </row>
    <row r="38" spans="1:7" x14ac:dyDescent="0.25">
      <c r="A38" s="32" t="s">
        <v>14</v>
      </c>
      <c r="B38" s="5">
        <f>'Rate Class Energy Model'!$G$10</f>
        <v>20022458</v>
      </c>
      <c r="C38" s="5">
        <f>'Rate Class Energy Model'!$G$11</f>
        <v>15903208</v>
      </c>
      <c r="D38" s="5">
        <f>'Rate Class Energy Model'!$G$12</f>
        <v>16623912.16</v>
      </c>
      <c r="E38" s="5">
        <f>'Rate Class Energy Model'!$G$13</f>
        <v>16908317.239999998</v>
      </c>
      <c r="F38" s="331">
        <f>'Rate Class Energy Model'!G42</f>
        <v>15876132.043679912</v>
      </c>
      <c r="G38" s="331">
        <f>'Rate Class Energy Model'!G43</f>
        <v>14936832</v>
      </c>
    </row>
    <row r="39" spans="1:7" x14ac:dyDescent="0.25">
      <c r="A39" s="32" t="s">
        <v>30</v>
      </c>
      <c r="B39" s="5">
        <f>'Rate Class Demand Model'!$I$10</f>
        <v>56255.360000000001</v>
      </c>
      <c r="C39" s="5">
        <f>'Rate Class Demand Model'!$I$11</f>
        <v>44445.9</v>
      </c>
      <c r="D39" s="5">
        <f>'Rate Class Demand Model'!$I$12</f>
        <v>46618.69</v>
      </c>
      <c r="E39" s="5">
        <f>'Rate Class Demand Model'!$I$13</f>
        <v>47272.4</v>
      </c>
      <c r="F39" s="331">
        <f>'Rate Class Demand Model'!I22</f>
        <v>44453</v>
      </c>
      <c r="G39" s="331">
        <f>'Rate Class Demand Model'!I23</f>
        <v>41823</v>
      </c>
    </row>
    <row r="40" spans="1:7" x14ac:dyDescent="0.25">
      <c r="A40" s="33" t="s">
        <v>8</v>
      </c>
      <c r="B40" s="230"/>
      <c r="C40" s="230"/>
      <c r="D40" s="230"/>
      <c r="E40" s="230"/>
      <c r="F40" s="230"/>
      <c r="G40" s="230"/>
    </row>
    <row r="41" spans="1:7" x14ac:dyDescent="0.25">
      <c r="A41" s="32" t="s">
        <v>33</v>
      </c>
      <c r="B41" s="5">
        <f>'Rate Class Customer Model'!$H$10</f>
        <v>584</v>
      </c>
      <c r="C41" s="5">
        <f>'Rate Class Customer Model'!$H$11</f>
        <v>540</v>
      </c>
      <c r="D41" s="5">
        <f>'Rate Class Customer Model'!$H$12</f>
        <v>525</v>
      </c>
      <c r="E41" s="5">
        <f>'Rate Class Customer Model'!$H$13</f>
        <v>520</v>
      </c>
      <c r="F41" s="331">
        <f>'Rate Class Customer Model'!H33</f>
        <v>497.63083322600602</v>
      </c>
      <c r="G41" s="331">
        <f>'Rate Class Customer Model'!H34</f>
        <v>476</v>
      </c>
    </row>
    <row r="42" spans="1:7" x14ac:dyDescent="0.25">
      <c r="A42" s="32" t="s">
        <v>14</v>
      </c>
      <c r="B42" s="5">
        <f>'Rate Class Energy Model'!$H$10</f>
        <v>592608</v>
      </c>
      <c r="C42" s="5">
        <f>'Rate Class Energy Model'!$H$11</f>
        <v>550596.4</v>
      </c>
      <c r="D42" s="5">
        <f>'Rate Class Energy Model'!$H$12</f>
        <v>541972.80000000005</v>
      </c>
      <c r="E42" s="5">
        <f>'Rate Class Energy Model'!$H$13</f>
        <v>534360.19000000006</v>
      </c>
      <c r="F42" s="331">
        <f>'Rate Class Energy Model'!H42</f>
        <v>497133.20239277999</v>
      </c>
      <c r="G42" s="331">
        <f>'Rate Class Energy Model'!H43</f>
        <v>462196</v>
      </c>
    </row>
    <row r="43" spans="1:7" x14ac:dyDescent="0.25">
      <c r="A43" s="32" t="s">
        <v>30</v>
      </c>
      <c r="B43" s="5">
        <f>'Rate Class Demand Model'!$J$10</f>
        <v>1611.01</v>
      </c>
      <c r="C43" s="5">
        <f>'Rate Class Demand Model'!$J$11</f>
        <v>1497.23</v>
      </c>
      <c r="D43" s="5">
        <f>'Rate Class Demand Model'!$J$12</f>
        <v>1471.68</v>
      </c>
      <c r="E43" s="5">
        <f>'Rate Class Demand Model'!$J$13</f>
        <v>1451.52</v>
      </c>
      <c r="F43" s="331">
        <f>'Rate Class Demand Model'!J22</f>
        <v>1342</v>
      </c>
      <c r="G43" s="331">
        <f>'Rate Class Demand Model'!J23</f>
        <v>1248</v>
      </c>
    </row>
    <row r="44" spans="1:7" x14ac:dyDescent="0.25">
      <c r="A44" s="33" t="s">
        <v>31</v>
      </c>
      <c r="B44" s="230"/>
      <c r="C44" s="230"/>
      <c r="D44" s="230"/>
      <c r="E44" s="230"/>
      <c r="F44" s="230"/>
      <c r="G44" s="230"/>
    </row>
    <row r="45" spans="1:7" x14ac:dyDescent="0.25">
      <c r="A45" s="32" t="s">
        <v>33</v>
      </c>
      <c r="B45" s="5">
        <f>'Rate Class Customer Model'!$I$10</f>
        <v>1515</v>
      </c>
      <c r="C45" s="5">
        <f>'Rate Class Customer Model'!$I$11</f>
        <v>1522</v>
      </c>
      <c r="D45" s="5">
        <f>'Rate Class Customer Model'!$I$12</f>
        <v>1543</v>
      </c>
      <c r="E45" s="5">
        <f>'Rate Class Customer Model'!$I$13</f>
        <v>1533</v>
      </c>
      <c r="F45" s="331">
        <f>'Rate Class Customer Model'!I33</f>
        <v>1536.0177095006536</v>
      </c>
      <c r="G45" s="331">
        <f>'Rate Class Customer Model'!I34</f>
        <v>1539</v>
      </c>
    </row>
    <row r="46" spans="1:7" x14ac:dyDescent="0.25">
      <c r="A46" s="32" t="s">
        <v>14</v>
      </c>
      <c r="B46" s="5">
        <f>'Rate Class Energy Model'!$I$10</f>
        <v>5549550</v>
      </c>
      <c r="C46" s="5">
        <f>'Rate Class Energy Model'!$I$11</f>
        <v>5496547</v>
      </c>
      <c r="D46" s="5">
        <f>'Rate Class Energy Model'!$I$12</f>
        <v>5501897.5099999998</v>
      </c>
      <c r="E46" s="5">
        <f>'Rate Class Energy Model'!$I$13</f>
        <v>5417919.1600000001</v>
      </c>
      <c r="F46" s="331">
        <f>'Rate Class Energy Model'!I42</f>
        <v>5369917.9124142854</v>
      </c>
      <c r="G46" s="331">
        <f>'Rate Class Energy Model'!I43</f>
        <v>5323401</v>
      </c>
    </row>
    <row r="47" spans="1:7" x14ac:dyDescent="0.25">
      <c r="A47" s="32" t="s">
        <v>30</v>
      </c>
      <c r="B47" s="5"/>
      <c r="C47" s="5"/>
      <c r="D47" s="5"/>
      <c r="E47" s="5"/>
      <c r="F47" s="5"/>
      <c r="G47" s="5"/>
    </row>
    <row r="48" spans="1:7" x14ac:dyDescent="0.25">
      <c r="A48" s="267" t="s">
        <v>32</v>
      </c>
      <c r="B48" s="270"/>
      <c r="C48" s="270"/>
      <c r="D48" s="270"/>
      <c r="E48" s="270"/>
      <c r="F48" s="270"/>
      <c r="G48" s="270"/>
    </row>
    <row r="49" spans="1:7" x14ac:dyDescent="0.25">
      <c r="A49" s="32" t="s">
        <v>29</v>
      </c>
      <c r="B49" s="6">
        <f t="shared" ref="B49" si="0">SUM(B17,B21,B25,B29,B33,B37,B41,B45)</f>
        <v>194669</v>
      </c>
      <c r="C49" s="6">
        <f t="shared" ref="C49:G49" si="1">SUM(C17,C21,C25,C29,C33,C37,C41,C45)</f>
        <v>197068</v>
      </c>
      <c r="D49" s="6">
        <f t="shared" si="1"/>
        <v>199043</v>
      </c>
      <c r="E49" s="6">
        <f t="shared" si="1"/>
        <v>201270</v>
      </c>
      <c r="F49" s="6">
        <f t="shared" si="1"/>
        <v>203497.58561244348</v>
      </c>
      <c r="G49" s="6">
        <f t="shared" si="1"/>
        <v>205748</v>
      </c>
    </row>
    <row r="50" spans="1:7" x14ac:dyDescent="0.25">
      <c r="A50" s="32" t="s">
        <v>33</v>
      </c>
      <c r="B50" s="6">
        <f t="shared" ref="B50:G50" si="2">SUM(B37,B41,B45)</f>
        <v>38283</v>
      </c>
      <c r="C50" s="6">
        <f t="shared" si="2"/>
        <v>38893</v>
      </c>
      <c r="D50" s="6">
        <f t="shared" si="2"/>
        <v>39178</v>
      </c>
      <c r="E50" s="6">
        <f t="shared" si="2"/>
        <v>39859</v>
      </c>
      <c r="F50" s="6">
        <f t="shared" si="2"/>
        <v>40381.793575769923</v>
      </c>
      <c r="G50" s="6">
        <f t="shared" si="2"/>
        <v>40913</v>
      </c>
    </row>
    <row r="51" spans="1:7" x14ac:dyDescent="0.25">
      <c r="A51" s="32" t="s">
        <v>14</v>
      </c>
      <c r="B51" s="6">
        <f t="shared" ref="B51:G51" si="3">SUM(B18,B22,B26,B30,B34,B38,B42,B46)</f>
        <v>3070375149</v>
      </c>
      <c r="C51" s="6">
        <f t="shared" si="3"/>
        <v>3215830065.2000003</v>
      </c>
      <c r="D51" s="6">
        <f t="shared" si="3"/>
        <v>3120062339.9400005</v>
      </c>
      <c r="E51" s="6">
        <f t="shared" si="3"/>
        <v>3082955257.4399996</v>
      </c>
      <c r="F51" s="6">
        <f t="shared" si="3"/>
        <v>3140370612.1299844</v>
      </c>
      <c r="G51" s="6">
        <f t="shared" si="3"/>
        <v>3140370612.1299844</v>
      </c>
    </row>
    <row r="52" spans="1:7" x14ac:dyDescent="0.25">
      <c r="A52" s="34" t="s">
        <v>30</v>
      </c>
      <c r="B52" s="35">
        <f t="shared" ref="B52:G52" si="4">SUM(B19,B23,B27,B31,B35,B39,B43,B47)</f>
        <v>4239704.01</v>
      </c>
      <c r="C52" s="35">
        <f t="shared" si="4"/>
        <v>4290841.53</v>
      </c>
      <c r="D52" s="35">
        <f t="shared" si="4"/>
        <v>4160926.71</v>
      </c>
      <c r="E52" s="35">
        <f t="shared" si="4"/>
        <v>3913551.57</v>
      </c>
      <c r="F52" s="35">
        <f t="shared" si="4"/>
        <v>3949515.2025000001</v>
      </c>
      <c r="G52" s="35">
        <f t="shared" si="4"/>
        <v>3888040.2025000001</v>
      </c>
    </row>
    <row r="53" spans="1:7" x14ac:dyDescent="0.25">
      <c r="B53" s="1"/>
      <c r="C53" s="1"/>
      <c r="D53" s="1"/>
      <c r="E53" s="1"/>
      <c r="F53" s="1"/>
      <c r="G53" s="1"/>
    </row>
    <row r="54" spans="1:7" x14ac:dyDescent="0.25">
      <c r="A54" t="s">
        <v>35</v>
      </c>
      <c r="B54" s="2">
        <f t="shared" ref="B54:G54" si="5">B13-B51</f>
        <v>0</v>
      </c>
      <c r="C54" s="2">
        <f t="shared" si="5"/>
        <v>0</v>
      </c>
      <c r="D54" s="2">
        <f t="shared" si="5"/>
        <v>0</v>
      </c>
      <c r="E54" s="2">
        <f t="shared" si="5"/>
        <v>0</v>
      </c>
      <c r="F54" s="2">
        <f t="shared" si="5"/>
        <v>0</v>
      </c>
      <c r="G54" s="2">
        <f t="shared" si="5"/>
        <v>0</v>
      </c>
    </row>
    <row r="55" spans="1:7" x14ac:dyDescent="0.25">
      <c r="B55" s="2"/>
      <c r="C55" s="2"/>
      <c r="D55" s="2"/>
      <c r="E55" s="2"/>
      <c r="F55" s="2"/>
      <c r="G55" s="2"/>
    </row>
    <row r="56" spans="1:7" ht="19.5" thickBot="1" x14ac:dyDescent="0.35">
      <c r="A56" s="26" t="s">
        <v>186</v>
      </c>
    </row>
    <row r="57" spans="1:7" ht="30" x14ac:dyDescent="0.25">
      <c r="A57" s="13" t="s">
        <v>23</v>
      </c>
      <c r="B57" s="14" t="s">
        <v>194</v>
      </c>
      <c r="C57" s="14" t="s">
        <v>195</v>
      </c>
      <c r="D57" s="14" t="s">
        <v>196</v>
      </c>
      <c r="E57" s="14" t="s">
        <v>197</v>
      </c>
      <c r="F57" s="15" t="s">
        <v>198</v>
      </c>
      <c r="G57" s="15" t="s">
        <v>199</v>
      </c>
    </row>
    <row r="58" spans="1:7" x14ac:dyDescent="0.25">
      <c r="A58" s="267" t="s">
        <v>34</v>
      </c>
      <c r="B58" s="269"/>
      <c r="C58" s="269"/>
      <c r="D58" s="269"/>
      <c r="E58" s="269"/>
      <c r="F58" s="269"/>
      <c r="G58" s="269"/>
    </row>
    <row r="59" spans="1:7" x14ac:dyDescent="0.25">
      <c r="A59" s="11" t="s">
        <v>24</v>
      </c>
      <c r="B59" s="37"/>
      <c r="C59" s="37">
        <f>C9-B9</f>
        <v>132369425.39999914</v>
      </c>
      <c r="D59" s="37">
        <f t="shared" ref="D59:E59" si="6">D9-C9</f>
        <v>-99787665.599999428</v>
      </c>
      <c r="E59" s="37">
        <f t="shared" si="6"/>
        <v>-47450808.500000477</v>
      </c>
      <c r="F59" s="37"/>
      <c r="G59" s="37"/>
    </row>
    <row r="60" spans="1:7" x14ac:dyDescent="0.25">
      <c r="A60" s="32" t="s">
        <v>25</v>
      </c>
      <c r="B60" s="37"/>
      <c r="C60" s="37">
        <f>C10-B10</f>
        <v>102489161.59147692</v>
      </c>
      <c r="D60" s="37">
        <f t="shared" ref="D60:G60" si="7">D10-C10</f>
        <v>-81316354.098593712</v>
      </c>
      <c r="E60" s="37">
        <f t="shared" si="7"/>
        <v>-29525669.425268173</v>
      </c>
      <c r="F60" s="37">
        <f t="shared" si="7"/>
        <v>46084116.991658688</v>
      </c>
      <c r="G60" s="37">
        <f t="shared" si="7"/>
        <v>0</v>
      </c>
    </row>
    <row r="61" spans="1:7" x14ac:dyDescent="0.25">
      <c r="A61" s="32"/>
      <c r="B61" s="228"/>
      <c r="C61" s="228"/>
      <c r="D61" s="228"/>
      <c r="E61" s="228"/>
      <c r="F61" s="228"/>
      <c r="G61" s="228"/>
    </row>
    <row r="62" spans="1:7" x14ac:dyDescent="0.25">
      <c r="A62" s="32" t="s">
        <v>27</v>
      </c>
      <c r="B62" s="5"/>
      <c r="C62" s="5">
        <f>C13-B13</f>
        <v>145454916.20000029</v>
      </c>
      <c r="D62" s="5">
        <f>D13-C13</f>
        <v>-95767725.259999752</v>
      </c>
      <c r="E62" s="5">
        <f>E13-D13</f>
        <v>-37107082.500000954</v>
      </c>
      <c r="F62" s="5">
        <f>F13-E13</f>
        <v>57415354.689984798</v>
      </c>
      <c r="G62" s="5">
        <f>G13-F13</f>
        <v>0</v>
      </c>
    </row>
    <row r="63" spans="1:7" x14ac:dyDescent="0.25">
      <c r="A63" s="32"/>
      <c r="B63" s="229"/>
      <c r="C63" s="229"/>
      <c r="D63" s="229"/>
      <c r="E63" s="229"/>
      <c r="F63" s="229"/>
      <c r="G63" s="229"/>
    </row>
    <row r="64" spans="1:7" x14ac:dyDescent="0.25">
      <c r="A64" s="267" t="s">
        <v>28</v>
      </c>
      <c r="B64" s="269"/>
      <c r="C64" s="269"/>
      <c r="D64" s="269"/>
      <c r="E64" s="269"/>
      <c r="F64" s="269"/>
      <c r="G64" s="269"/>
    </row>
    <row r="65" spans="1:7" x14ac:dyDescent="0.25">
      <c r="A65" s="33" t="s">
        <v>2</v>
      </c>
      <c r="B65" s="230"/>
      <c r="C65" s="230"/>
      <c r="D65" s="230"/>
      <c r="E65" s="230"/>
      <c r="F65" s="230"/>
      <c r="G65" s="230"/>
    </row>
    <row r="66" spans="1:7" x14ac:dyDescent="0.25">
      <c r="A66" s="32" t="s">
        <v>29</v>
      </c>
      <c r="B66" s="5"/>
      <c r="C66" s="5">
        <f t="shared" ref="C66:G67" si="8">C17-B17</f>
        <v>1712</v>
      </c>
      <c r="D66" s="5">
        <f t="shared" si="8"/>
        <v>1596</v>
      </c>
      <c r="E66" s="5">
        <f t="shared" si="8"/>
        <v>1463</v>
      </c>
      <c r="F66" s="5">
        <f t="shared" si="8"/>
        <v>1624.0629598786181</v>
      </c>
      <c r="G66" s="5">
        <f t="shared" si="8"/>
        <v>1641.9370401213819</v>
      </c>
    </row>
    <row r="67" spans="1:7" x14ac:dyDescent="0.25">
      <c r="A67" s="32" t="s">
        <v>14</v>
      </c>
      <c r="B67" s="5"/>
      <c r="C67" s="5">
        <f t="shared" si="8"/>
        <v>93041307.700000048</v>
      </c>
      <c r="D67" s="5">
        <f t="shared" si="8"/>
        <v>-34442866.660000086</v>
      </c>
      <c r="E67" s="5">
        <f t="shared" si="8"/>
        <v>74740190.619999886</v>
      </c>
      <c r="F67" s="5">
        <f t="shared" si="8"/>
        <v>56416718.996538639</v>
      </c>
      <c r="G67" s="5">
        <f t="shared" si="8"/>
        <v>31257856.154593468</v>
      </c>
    </row>
    <row r="68" spans="1:7" x14ac:dyDescent="0.25">
      <c r="A68" s="32" t="s">
        <v>30</v>
      </c>
      <c r="B68" s="227"/>
      <c r="C68" s="227"/>
      <c r="D68" s="227"/>
      <c r="E68" s="227"/>
      <c r="F68" s="227"/>
      <c r="G68" s="227"/>
    </row>
    <row r="69" spans="1:7" x14ac:dyDescent="0.25">
      <c r="A69" s="33" t="s">
        <v>3</v>
      </c>
      <c r="B69" s="230"/>
      <c r="C69" s="230"/>
      <c r="D69" s="230"/>
      <c r="E69" s="230"/>
      <c r="F69" s="230"/>
      <c r="G69" s="230"/>
    </row>
    <row r="70" spans="1:7" x14ac:dyDescent="0.25">
      <c r="A70" s="32" t="s">
        <v>29</v>
      </c>
      <c r="B70" s="5"/>
      <c r="C70" s="5">
        <f t="shared" ref="C70:G71" si="9">C21-B21</f>
        <v>59</v>
      </c>
      <c r="D70" s="5">
        <f t="shared" si="9"/>
        <v>137</v>
      </c>
      <c r="E70" s="5">
        <f t="shared" si="9"/>
        <v>120</v>
      </c>
      <c r="F70" s="5">
        <f t="shared" si="9"/>
        <v>89.848331278935802</v>
      </c>
      <c r="G70" s="5">
        <f t="shared" si="9"/>
        <v>90.151668721064198</v>
      </c>
    </row>
    <row r="71" spans="1:7" x14ac:dyDescent="0.25">
      <c r="A71" s="32" t="s">
        <v>14</v>
      </c>
      <c r="B71" s="5"/>
      <c r="C71" s="5">
        <f t="shared" si="9"/>
        <v>12674687.699999988</v>
      </c>
      <c r="D71" s="5">
        <f t="shared" si="9"/>
        <v>-1491685.9499999881</v>
      </c>
      <c r="E71" s="5">
        <f t="shared" si="9"/>
        <v>-20952397.459999979</v>
      </c>
      <c r="F71" s="5">
        <f t="shared" si="9"/>
        <v>5940589.587343514</v>
      </c>
      <c r="G71" s="5">
        <f t="shared" si="9"/>
        <v>-2283117.990478158</v>
      </c>
    </row>
    <row r="72" spans="1:7" x14ac:dyDescent="0.25">
      <c r="A72" s="32" t="s">
        <v>30</v>
      </c>
      <c r="B72" s="227"/>
      <c r="C72" s="227"/>
      <c r="D72" s="227"/>
      <c r="E72" s="227"/>
      <c r="F72" s="227"/>
      <c r="G72" s="227"/>
    </row>
    <row r="73" spans="1:7" x14ac:dyDescent="0.25">
      <c r="A73" s="33" t="s">
        <v>4</v>
      </c>
      <c r="B73" s="230"/>
      <c r="C73" s="230"/>
      <c r="D73" s="230"/>
      <c r="E73" s="230"/>
      <c r="F73" s="230"/>
      <c r="G73" s="230"/>
    </row>
    <row r="74" spans="1:7" x14ac:dyDescent="0.25">
      <c r="A74" s="32" t="s">
        <v>29</v>
      </c>
      <c r="B74" s="5"/>
      <c r="C74" s="5">
        <f t="shared" ref="C74:G76" si="10">C25-B25</f>
        <v>17</v>
      </c>
      <c r="D74" s="5">
        <f t="shared" si="10"/>
        <v>-43</v>
      </c>
      <c r="E74" s="5">
        <f t="shared" si="10"/>
        <v>-38</v>
      </c>
      <c r="F74" s="5">
        <f t="shared" si="10"/>
        <v>-9.7159559340959731</v>
      </c>
      <c r="G74" s="5">
        <f t="shared" si="10"/>
        <v>-13.284044065904027</v>
      </c>
    </row>
    <row r="75" spans="1:7" x14ac:dyDescent="0.25">
      <c r="A75" s="32" t="s">
        <v>14</v>
      </c>
      <c r="B75" s="5"/>
      <c r="C75" s="5">
        <f t="shared" si="10"/>
        <v>40302751.399999857</v>
      </c>
      <c r="D75" s="5">
        <f t="shared" si="10"/>
        <v>-40747596.399999857</v>
      </c>
      <c r="E75" s="5">
        <f t="shared" si="10"/>
        <v>-84553569.190000057</v>
      </c>
      <c r="F75" s="5">
        <f t="shared" si="10"/>
        <v>3533502.1221187115</v>
      </c>
      <c r="G75" s="5">
        <f t="shared" si="10"/>
        <v>-18938607.676120281</v>
      </c>
    </row>
    <row r="76" spans="1:7" x14ac:dyDescent="0.25">
      <c r="A76" s="32" t="s">
        <v>30</v>
      </c>
      <c r="B76" s="5"/>
      <c r="C76" s="5">
        <f t="shared" si="10"/>
        <v>32522.830000000075</v>
      </c>
      <c r="D76" s="5">
        <f t="shared" si="10"/>
        <v>-90301.60999999987</v>
      </c>
      <c r="E76" s="5">
        <f t="shared" si="10"/>
        <v>-235100.31999999983</v>
      </c>
      <c r="F76" s="5">
        <f t="shared" si="10"/>
        <v>39620.5</v>
      </c>
      <c r="G76" s="5">
        <f t="shared" si="10"/>
        <v>-47820</v>
      </c>
    </row>
    <row r="77" spans="1:7" x14ac:dyDescent="0.25">
      <c r="A77" s="33" t="s">
        <v>143</v>
      </c>
      <c r="B77" s="230"/>
      <c r="C77" s="230"/>
      <c r="D77" s="230"/>
      <c r="E77" s="230"/>
      <c r="F77" s="230"/>
      <c r="G77" s="230"/>
    </row>
    <row r="78" spans="1:7" x14ac:dyDescent="0.25">
      <c r="A78" s="32" t="s">
        <v>29</v>
      </c>
      <c r="B78" s="5"/>
      <c r="C78" s="5">
        <f t="shared" ref="C78:G80" si="11">C29-B29</f>
        <v>1</v>
      </c>
      <c r="D78" s="5">
        <f t="shared" si="11"/>
        <v>0</v>
      </c>
      <c r="E78" s="5">
        <f t="shared" si="11"/>
        <v>1</v>
      </c>
      <c r="F78" s="5">
        <f t="shared" si="11"/>
        <v>0.59670145011377507</v>
      </c>
      <c r="G78" s="5">
        <f t="shared" si="11"/>
        <v>0.40329854988622493</v>
      </c>
    </row>
    <row r="79" spans="1:7" x14ac:dyDescent="0.25">
      <c r="A79" s="32" t="s">
        <v>14</v>
      </c>
      <c r="B79" s="5"/>
      <c r="C79" s="5">
        <f t="shared" si="11"/>
        <v>3864791</v>
      </c>
      <c r="D79" s="5">
        <f t="shared" si="11"/>
        <v>-13813113.850000001</v>
      </c>
      <c r="E79" s="5">
        <f t="shared" si="11"/>
        <v>1257651.4600000009</v>
      </c>
      <c r="F79" s="5">
        <f t="shared" si="11"/>
        <v>-2250077.1589328349</v>
      </c>
      <c r="G79" s="5">
        <f t="shared" si="11"/>
        <v>-3262606.2888996117</v>
      </c>
    </row>
    <row r="80" spans="1:7" x14ac:dyDescent="0.25">
      <c r="A80" s="32" t="s">
        <v>30</v>
      </c>
      <c r="B80" s="5"/>
      <c r="C80" s="5">
        <f t="shared" si="11"/>
        <v>36617.130000000005</v>
      </c>
      <c r="D80" s="5">
        <f t="shared" si="11"/>
        <v>-36453.989999999991</v>
      </c>
      <c r="E80" s="5">
        <f t="shared" si="11"/>
        <v>13466.440000000002</v>
      </c>
      <c r="F80" s="5">
        <f t="shared" si="11"/>
        <v>3072.882500000007</v>
      </c>
      <c r="G80" s="5">
        <f t="shared" si="11"/>
        <v>0</v>
      </c>
    </row>
    <row r="81" spans="1:7" x14ac:dyDescent="0.25">
      <c r="A81" s="33" t="s">
        <v>5</v>
      </c>
      <c r="B81" s="230"/>
      <c r="C81" s="230"/>
      <c r="D81" s="230"/>
      <c r="E81" s="230"/>
      <c r="F81" s="230"/>
      <c r="G81" s="230"/>
    </row>
    <row r="82" spans="1:7" x14ac:dyDescent="0.25">
      <c r="A82" s="32" t="s">
        <v>29</v>
      </c>
      <c r="B82" s="5"/>
      <c r="C82" s="5">
        <f t="shared" ref="C82:G84" si="12">C33-B33</f>
        <v>0</v>
      </c>
      <c r="D82" s="5">
        <f t="shared" si="12"/>
        <v>0</v>
      </c>
      <c r="E82" s="5">
        <f t="shared" si="12"/>
        <v>0</v>
      </c>
      <c r="F82" s="5">
        <f t="shared" si="12"/>
        <v>0</v>
      </c>
      <c r="G82" s="5">
        <f t="shared" si="12"/>
        <v>0</v>
      </c>
    </row>
    <row r="83" spans="1:7" x14ac:dyDescent="0.25">
      <c r="A83" s="32" t="s">
        <v>14</v>
      </c>
      <c r="B83" s="5"/>
      <c r="C83" s="5">
        <f t="shared" si="12"/>
        <v>-214357</v>
      </c>
      <c r="D83" s="5">
        <f t="shared" si="12"/>
        <v>-5989893.4699999988</v>
      </c>
      <c r="E83" s="5">
        <f t="shared" si="12"/>
        <v>-7791772.049999997</v>
      </c>
      <c r="F83" s="5">
        <f t="shared" si="12"/>
        <v>-5107965.4255696088</v>
      </c>
      <c r="G83" s="5">
        <f t="shared" si="12"/>
        <v>-5752770.0406093001</v>
      </c>
    </row>
    <row r="84" spans="1:7" x14ac:dyDescent="0.25">
      <c r="A84" s="32" t="s">
        <v>30</v>
      </c>
      <c r="B84" s="5"/>
      <c r="C84" s="5">
        <f t="shared" si="12"/>
        <v>-6079.1999999999825</v>
      </c>
      <c r="D84" s="5">
        <f t="shared" si="12"/>
        <v>-5306.4599999999919</v>
      </c>
      <c r="E84" s="5">
        <f t="shared" si="12"/>
        <v>-26374.810000000027</v>
      </c>
      <c r="F84" s="5">
        <f t="shared" si="12"/>
        <v>-3800.8299999999872</v>
      </c>
      <c r="G84" s="5">
        <f t="shared" si="12"/>
        <v>-10931</v>
      </c>
    </row>
    <row r="85" spans="1:7" x14ac:dyDescent="0.25">
      <c r="A85" s="33" t="s">
        <v>7</v>
      </c>
      <c r="B85" s="230"/>
      <c r="C85" s="230"/>
      <c r="D85" s="230"/>
      <c r="E85" s="230"/>
      <c r="F85" s="230"/>
      <c r="G85" s="230"/>
    </row>
    <row r="86" spans="1:7" x14ac:dyDescent="0.25">
      <c r="A86" s="32" t="s">
        <v>33</v>
      </c>
      <c r="B86" s="5"/>
      <c r="C86" s="5">
        <f t="shared" ref="C86:G88" si="13">C37-B37</f>
        <v>647</v>
      </c>
      <c r="D86" s="5">
        <f t="shared" si="13"/>
        <v>279</v>
      </c>
      <c r="E86" s="5">
        <f t="shared" si="13"/>
        <v>696</v>
      </c>
      <c r="F86" s="5">
        <f t="shared" si="13"/>
        <v>542.14503304326354</v>
      </c>
      <c r="G86" s="5">
        <f t="shared" si="13"/>
        <v>549.85496695673646</v>
      </c>
    </row>
    <row r="87" spans="1:7" x14ac:dyDescent="0.25">
      <c r="A87" s="32" t="s">
        <v>14</v>
      </c>
      <c r="B87" s="5"/>
      <c r="C87" s="5">
        <f t="shared" si="13"/>
        <v>-4119250</v>
      </c>
      <c r="D87" s="5">
        <f t="shared" si="13"/>
        <v>720704.16000000015</v>
      </c>
      <c r="E87" s="5">
        <f t="shared" si="13"/>
        <v>284405.07999999821</v>
      </c>
      <c r="F87" s="5">
        <f t="shared" si="13"/>
        <v>-1032185.1963200867</v>
      </c>
      <c r="G87" s="5">
        <f t="shared" si="13"/>
        <v>-939300.04367991164</v>
      </c>
    </row>
    <row r="88" spans="1:7" x14ac:dyDescent="0.25">
      <c r="A88" s="32" t="s">
        <v>30</v>
      </c>
      <c r="B88" s="5"/>
      <c r="C88" s="5">
        <f t="shared" si="13"/>
        <v>-11809.46</v>
      </c>
      <c r="D88" s="5">
        <f t="shared" si="13"/>
        <v>2172.7900000000009</v>
      </c>
      <c r="E88" s="5">
        <f t="shared" si="13"/>
        <v>653.70999999999913</v>
      </c>
      <c r="F88" s="5">
        <f t="shared" si="13"/>
        <v>-2819.4000000000015</v>
      </c>
      <c r="G88" s="5">
        <f t="shared" si="13"/>
        <v>-2630</v>
      </c>
    </row>
    <row r="89" spans="1:7" x14ac:dyDescent="0.25">
      <c r="A89" s="33" t="s">
        <v>8</v>
      </c>
      <c r="B89" s="230"/>
      <c r="C89" s="230"/>
      <c r="D89" s="230"/>
      <c r="E89" s="230"/>
      <c r="F89" s="230"/>
      <c r="G89" s="230"/>
    </row>
    <row r="90" spans="1:7" x14ac:dyDescent="0.25">
      <c r="A90" s="32" t="s">
        <v>33</v>
      </c>
      <c r="B90" s="5"/>
      <c r="C90" s="5">
        <f t="shared" ref="C90:G92" si="14">C41-B41</f>
        <v>-44</v>
      </c>
      <c r="D90" s="5">
        <f t="shared" si="14"/>
        <v>-15</v>
      </c>
      <c r="E90" s="5">
        <f t="shared" si="14"/>
        <v>-5</v>
      </c>
      <c r="F90" s="5">
        <f t="shared" si="14"/>
        <v>-22.369166773993982</v>
      </c>
      <c r="G90" s="5">
        <f t="shared" si="14"/>
        <v>-21.630833226006018</v>
      </c>
    </row>
    <row r="91" spans="1:7" x14ac:dyDescent="0.25">
      <c r="A91" s="32" t="s">
        <v>14</v>
      </c>
      <c r="B91" s="5"/>
      <c r="C91" s="5">
        <f t="shared" si="14"/>
        <v>-42011.599999999977</v>
      </c>
      <c r="D91" s="5">
        <f t="shared" si="14"/>
        <v>-8623.5999999999767</v>
      </c>
      <c r="E91" s="5">
        <f t="shared" si="14"/>
        <v>-7612.609999999986</v>
      </c>
      <c r="F91" s="5">
        <f t="shared" si="14"/>
        <v>-37226.987607220071</v>
      </c>
      <c r="G91" s="5">
        <f t="shared" si="14"/>
        <v>-34937.202392779989</v>
      </c>
    </row>
    <row r="92" spans="1:7" x14ac:dyDescent="0.25">
      <c r="A92" s="32" t="s">
        <v>30</v>
      </c>
      <c r="B92" s="5"/>
      <c r="C92" s="5">
        <f t="shared" si="14"/>
        <v>-113.77999999999997</v>
      </c>
      <c r="D92" s="5">
        <f t="shared" si="14"/>
        <v>-25.549999999999955</v>
      </c>
      <c r="E92" s="5">
        <f t="shared" si="14"/>
        <v>-20.160000000000082</v>
      </c>
      <c r="F92" s="5">
        <f t="shared" si="14"/>
        <v>-109.51999999999998</v>
      </c>
      <c r="G92" s="5">
        <f t="shared" si="14"/>
        <v>-94</v>
      </c>
    </row>
    <row r="93" spans="1:7" x14ac:dyDescent="0.25">
      <c r="A93" s="33" t="s">
        <v>31</v>
      </c>
      <c r="B93" s="230"/>
      <c r="C93" s="230"/>
      <c r="D93" s="230"/>
      <c r="E93" s="230"/>
      <c r="F93" s="230"/>
      <c r="G93" s="230"/>
    </row>
    <row r="94" spans="1:7" x14ac:dyDescent="0.25">
      <c r="A94" s="32" t="s">
        <v>33</v>
      </c>
      <c r="B94" s="5"/>
      <c r="C94" s="5">
        <f t="shared" ref="C94:G95" si="15">C45-B45</f>
        <v>7</v>
      </c>
      <c r="D94" s="5">
        <f t="shared" si="15"/>
        <v>21</v>
      </c>
      <c r="E94" s="5">
        <f t="shared" si="15"/>
        <v>-10</v>
      </c>
      <c r="F94" s="5">
        <f t="shared" si="15"/>
        <v>3.0177095006536092</v>
      </c>
      <c r="G94" s="5">
        <f t="shared" si="15"/>
        <v>2.9822904993463908</v>
      </c>
    </row>
    <row r="95" spans="1:7" x14ac:dyDescent="0.25">
      <c r="A95" s="32" t="s">
        <v>14</v>
      </c>
      <c r="B95" s="5"/>
      <c r="C95" s="5">
        <f t="shared" si="15"/>
        <v>-53003</v>
      </c>
      <c r="D95" s="5">
        <f t="shared" si="15"/>
        <v>5350.5099999997765</v>
      </c>
      <c r="E95" s="5">
        <f t="shared" si="15"/>
        <v>-83978.349999999627</v>
      </c>
      <c r="F95" s="5">
        <f t="shared" si="15"/>
        <v>-48001.247585714795</v>
      </c>
      <c r="G95" s="5">
        <f t="shared" si="15"/>
        <v>-46516.912414285354</v>
      </c>
    </row>
    <row r="96" spans="1:7" x14ac:dyDescent="0.25">
      <c r="A96" s="32" t="s">
        <v>30</v>
      </c>
      <c r="B96" s="227"/>
      <c r="C96" s="227">
        <f>'Rate Class Demand Model'!$K$29</f>
        <v>0</v>
      </c>
      <c r="D96" s="227">
        <f>'Rate Class Demand Model'!$K$29</f>
        <v>0</v>
      </c>
      <c r="E96" s="227">
        <f>'Rate Class Demand Model'!$K$29</f>
        <v>0</v>
      </c>
      <c r="F96" s="227">
        <f>'Rate Class Demand Model'!$K$29</f>
        <v>0</v>
      </c>
      <c r="G96" s="227">
        <f>'Rate Class Demand Model'!$K$29</f>
        <v>0</v>
      </c>
    </row>
    <row r="97" spans="1:7" x14ac:dyDescent="0.25">
      <c r="A97" s="267" t="s">
        <v>32</v>
      </c>
      <c r="B97" s="270"/>
      <c r="C97" s="270"/>
      <c r="D97" s="270"/>
      <c r="E97" s="270"/>
      <c r="F97" s="270"/>
      <c r="G97" s="270"/>
    </row>
    <row r="98" spans="1:7" x14ac:dyDescent="0.25">
      <c r="A98" s="32" t="s">
        <v>29</v>
      </c>
      <c r="B98" s="6"/>
      <c r="C98" s="6">
        <f t="shared" ref="C98:G98" si="16">SUM(C66,C70,C74,C78,C82,C86,C90,C94)</f>
        <v>2399</v>
      </c>
      <c r="D98" s="6">
        <f t="shared" si="16"/>
        <v>1975</v>
      </c>
      <c r="E98" s="6">
        <f t="shared" si="16"/>
        <v>2227</v>
      </c>
      <c r="F98" s="6">
        <f t="shared" si="16"/>
        <v>2227.5856124434949</v>
      </c>
      <c r="G98" s="6">
        <f t="shared" si="16"/>
        <v>2250.4143875565051</v>
      </c>
    </row>
    <row r="99" spans="1:7" x14ac:dyDescent="0.25">
      <c r="A99" s="32" t="s">
        <v>14</v>
      </c>
      <c r="B99" s="6"/>
      <c r="C99" s="6">
        <f t="shared" ref="C99:G99" si="17">SUM(C67,C71,C75,C79,C83,C87,C91,C95)</f>
        <v>145454916.1999999</v>
      </c>
      <c r="D99" s="6">
        <f t="shared" si="17"/>
        <v>-95767725.259999916</v>
      </c>
      <c r="E99" s="6">
        <f t="shared" si="17"/>
        <v>-37107082.500000149</v>
      </c>
      <c r="F99" s="6">
        <f t="shared" si="17"/>
        <v>57415354.689985402</v>
      </c>
      <c r="G99" s="6">
        <f t="shared" si="17"/>
        <v>-8.6030922830104828E-7</v>
      </c>
    </row>
    <row r="100" spans="1:7" x14ac:dyDescent="0.25">
      <c r="A100" s="34" t="s">
        <v>30</v>
      </c>
      <c r="B100" s="35"/>
      <c r="C100" s="35">
        <f t="shared" ref="C100:G100" si="18">SUM(C68,C72,C76,C80,C84,C88,C92,C96)</f>
        <v>51137.520000000099</v>
      </c>
      <c r="D100" s="35">
        <f t="shared" si="18"/>
        <v>-129914.81999999985</v>
      </c>
      <c r="E100" s="35">
        <f t="shared" si="18"/>
        <v>-247375.13999999987</v>
      </c>
      <c r="F100" s="35">
        <f t="shared" si="18"/>
        <v>35963.632500000022</v>
      </c>
      <c r="G100" s="35">
        <f t="shared" si="18"/>
        <v>-61475</v>
      </c>
    </row>
    <row r="101" spans="1:7" x14ac:dyDescent="0.25">
      <c r="B101" s="1"/>
      <c r="C101" s="1"/>
      <c r="D101" s="1"/>
      <c r="E101" s="1"/>
      <c r="F101" s="1"/>
      <c r="G101" s="1"/>
    </row>
    <row r="102" spans="1:7" x14ac:dyDescent="0.25">
      <c r="A102" t="s">
        <v>35</v>
      </c>
      <c r="B102" s="2"/>
      <c r="C102" s="2">
        <f t="shared" ref="C102:G102" si="19">C62-C99</f>
        <v>3.8743019104003906E-7</v>
      </c>
      <c r="D102" s="2">
        <f t="shared" si="19"/>
        <v>1.6391277313232422E-7</v>
      </c>
      <c r="E102" s="2">
        <f t="shared" si="19"/>
        <v>-8.0466270446777344E-7</v>
      </c>
      <c r="F102" s="2">
        <f t="shared" si="19"/>
        <v>-6.0349702835083008E-7</v>
      </c>
      <c r="G102" s="2">
        <f t="shared" si="19"/>
        <v>8.6030922830104828E-7</v>
      </c>
    </row>
  </sheetData>
  <pageMargins left="0.3" right="0.3" top="0.3" bottom="0.6" header="0.3" footer="0.3"/>
  <pageSetup scale="71" orientation="landscape"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11</vt:i4>
      </vt:variant>
    </vt:vector>
  </HeadingPairs>
  <TitlesOfParts>
    <vt:vector size="27" baseType="lpstr">
      <vt:lpstr>Admin</vt:lpstr>
      <vt:lpstr>Wholesale Forecast</vt:lpstr>
      <vt:lpstr>Forecast Accuracy</vt:lpstr>
      <vt:lpstr>Rate Class Customer Model</vt:lpstr>
      <vt:lpstr>WMP</vt:lpstr>
      <vt:lpstr>Rate Class Energy Model</vt:lpstr>
      <vt:lpstr>Rate Class Demand Model</vt:lpstr>
      <vt:lpstr>Transformer Allowance</vt:lpstr>
      <vt:lpstr>Detailed Summary</vt:lpstr>
      <vt:lpstr>Summary</vt:lpstr>
      <vt:lpstr>Sheet1</vt:lpstr>
      <vt:lpstr>CA Customers</vt:lpstr>
      <vt:lpstr>COP Rates</vt:lpstr>
      <vt:lpstr>COP Forecast</vt:lpstr>
      <vt:lpstr>2016 Revenue at Old Rates</vt:lpstr>
      <vt:lpstr>Market Participant</vt:lpstr>
      <vt:lpstr>'2016 Revenue at Old Rates'!Print_Area</vt:lpstr>
      <vt:lpstr>'COP Forecast'!Print_Area</vt:lpstr>
      <vt:lpstr>'COP Rates'!Print_Area</vt:lpstr>
      <vt:lpstr>'Detailed Summary'!Print_Area</vt:lpstr>
      <vt:lpstr>'Forecast Accuracy'!Print_Area</vt:lpstr>
      <vt:lpstr>'Market Participant'!Print_Area</vt:lpstr>
      <vt:lpstr>'Rate Class Customer Model'!Print_Area</vt:lpstr>
      <vt:lpstr>'Rate Class Demand Model'!Print_Area</vt:lpstr>
      <vt:lpstr>'Rate Class Energy Model'!Print_Area</vt:lpstr>
      <vt:lpstr>Summary!Print_Area</vt:lpstr>
      <vt:lpstr>'Rate Class Energy Model'!Print_Titles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andrya.eagen</dc:creator>
  <cp:lastModifiedBy>Benum, Martin</cp:lastModifiedBy>
  <cp:lastPrinted>2017-01-30T14:41:33Z</cp:lastPrinted>
  <dcterms:created xsi:type="dcterms:W3CDTF">2015-05-05T17:44:18Z</dcterms:created>
  <dcterms:modified xsi:type="dcterms:W3CDTF">2021-11-12T18:15:27Z</dcterms:modified>
</cp:coreProperties>
</file>