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2995" windowHeight="10035" activeTab="1"/>
  </bookViews>
  <sheets>
    <sheet name="Summary" sheetId="3" r:id="rId1"/>
    <sheet name="2018 Full Orig" sheetId="2" r:id="rId2"/>
    <sheet name="2018 Full Corrected" sheetId="4" r:id="rId3"/>
    <sheet name="2018 Current Revenue" sheetId="6" r:id="rId4"/>
    <sheet name="2018 Proposed Revenue" sheetId="7" r:id="rId5"/>
    <sheet name="2018 Proposed Revenue Results" sheetId="8" r:id="rId6"/>
    <sheet name="2018 Wholesale Calculation" sheetId="5" r:id="rId7"/>
  </sheets>
  <externalReferences>
    <externalReference r:id="rId8"/>
  </externalReferences>
  <definedNames>
    <definedName name="forecast_wholesale_lineplus">'[1]14. RTSR - Forecast Wholesale'!$P$113</definedName>
    <definedName name="forecast_wholesale_network">'[1]14. RTSR - Forecast Wholesale'!$F$109</definedName>
    <definedName name="Total_Current_Wholesale_Lineplus">'[1]13. RTSR - Current Wholesale'!$P$113</definedName>
    <definedName name="total_current_wholesale_network">'[1]13. RTSR - Current Wholesale'!$F$109</definedName>
  </definedNames>
  <calcPr calcId="145621"/>
</workbook>
</file>

<file path=xl/calcChain.xml><?xml version="1.0" encoding="utf-8"?>
<calcChain xmlns="http://schemas.openxmlformats.org/spreadsheetml/2006/main">
  <c r="H30" i="7" l="1"/>
  <c r="D30" i="8" s="1"/>
  <c r="H14" i="7"/>
  <c r="D14" i="8" s="1"/>
  <c r="G30" i="7"/>
  <c r="G14" i="7"/>
  <c r="H30" i="6"/>
  <c r="C30" i="8" s="1"/>
  <c r="H14" i="6"/>
  <c r="C14" i="8" s="1"/>
  <c r="G30" i="6"/>
  <c r="G14" i="6"/>
  <c r="E14" i="8" l="1"/>
  <c r="E30" i="8"/>
  <c r="C7" i="3" l="1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D6" i="3"/>
  <c r="C6" i="3"/>
  <c r="I59" i="4"/>
  <c r="I44" i="4"/>
  <c r="I29" i="4"/>
  <c r="G27" i="4"/>
  <c r="G26" i="4"/>
  <c r="G25" i="4"/>
  <c r="G24" i="4"/>
  <c r="G23" i="4"/>
  <c r="G22" i="4"/>
  <c r="G21" i="4"/>
  <c r="G20" i="4"/>
  <c r="G19" i="4"/>
  <c r="I14" i="4"/>
  <c r="G12" i="4"/>
  <c r="G11" i="4"/>
  <c r="G10" i="4"/>
  <c r="G9" i="4"/>
  <c r="G8" i="4"/>
  <c r="G7" i="4"/>
  <c r="G6" i="4"/>
  <c r="G5" i="4"/>
  <c r="G4" i="4"/>
  <c r="G28" i="2"/>
  <c r="G27" i="2"/>
  <c r="H27" i="2" s="1"/>
  <c r="G26" i="2"/>
  <c r="H26" i="2" s="1"/>
  <c r="G25" i="2"/>
  <c r="G24" i="2"/>
  <c r="G23" i="2"/>
  <c r="H23" i="2" s="1"/>
  <c r="G22" i="2"/>
  <c r="H22" i="2" s="1"/>
  <c r="G21" i="2"/>
  <c r="G20" i="2"/>
  <c r="G29" i="2" s="1"/>
  <c r="G12" i="2"/>
  <c r="G11" i="2"/>
  <c r="G10" i="2"/>
  <c r="H10" i="2" s="1"/>
  <c r="G9" i="2"/>
  <c r="G8" i="2"/>
  <c r="G7" i="2"/>
  <c r="G6" i="2"/>
  <c r="H6" i="2" s="1"/>
  <c r="G5" i="2"/>
  <c r="G4" i="2"/>
  <c r="G13" i="2" s="1"/>
  <c r="G13" i="4" l="1"/>
  <c r="H7" i="4" s="1"/>
  <c r="I7" i="4" s="1"/>
  <c r="J7" i="4" s="1"/>
  <c r="D37" i="4" s="1"/>
  <c r="G37" i="4" s="1"/>
  <c r="H37" i="4" s="1"/>
  <c r="I37" i="4" s="1"/>
  <c r="J37" i="4" s="1"/>
  <c r="I9" i="3" s="1"/>
  <c r="G28" i="4"/>
  <c r="H24" i="4" s="1"/>
  <c r="I24" i="4" s="1"/>
  <c r="J24" i="4" s="1"/>
  <c r="I62" i="2"/>
  <c r="J62" i="2" s="1"/>
  <c r="G13" i="3" s="1"/>
  <c r="D27" i="6" s="1"/>
  <c r="G27" i="6" s="1"/>
  <c r="H27" i="6" s="1"/>
  <c r="C27" i="8" s="1"/>
  <c r="H7" i="2"/>
  <c r="H11" i="2"/>
  <c r="H9" i="2"/>
  <c r="I9" i="2" s="1"/>
  <c r="H5" i="2"/>
  <c r="I5" i="2" s="1"/>
  <c r="J5" i="2" s="1"/>
  <c r="D38" i="2" s="1"/>
  <c r="G38" i="2" s="1"/>
  <c r="H38" i="2" s="1"/>
  <c r="H4" i="2"/>
  <c r="H8" i="2"/>
  <c r="H12" i="2"/>
  <c r="I12" i="2" s="1"/>
  <c r="J12" i="2" s="1"/>
  <c r="D45" i="2" s="1"/>
  <c r="G45" i="2" s="1"/>
  <c r="H45" i="2" s="1"/>
  <c r="H25" i="2"/>
  <c r="I25" i="2" s="1"/>
  <c r="J25" i="2" s="1"/>
  <c r="D60" i="2" s="1"/>
  <c r="G60" i="2" s="1"/>
  <c r="H60" i="2" s="1"/>
  <c r="I60" i="2" s="1"/>
  <c r="J60" i="2" s="1"/>
  <c r="G11" i="3" s="1"/>
  <c r="D25" i="6" s="1"/>
  <c r="G25" i="6" s="1"/>
  <c r="H25" i="6" s="1"/>
  <c r="C25" i="8" s="1"/>
  <c r="H24" i="2"/>
  <c r="I24" i="2" s="1"/>
  <c r="H28" i="2"/>
  <c r="I28" i="2" s="1"/>
  <c r="H21" i="2"/>
  <c r="I21" i="2" s="1"/>
  <c r="J21" i="2" s="1"/>
  <c r="D56" i="2" s="1"/>
  <c r="G56" i="2" s="1"/>
  <c r="H56" i="2" s="1"/>
  <c r="I56" i="2" s="1"/>
  <c r="J56" i="2" s="1"/>
  <c r="G7" i="3" s="1"/>
  <c r="D21" i="6" s="1"/>
  <c r="G21" i="6" s="1"/>
  <c r="H21" i="6" s="1"/>
  <c r="C21" i="8" s="1"/>
  <c r="H20" i="2"/>
  <c r="H29" i="2" s="1"/>
  <c r="I6" i="2"/>
  <c r="J6" i="2" s="1"/>
  <c r="D39" i="2" s="1"/>
  <c r="G39" i="2" s="1"/>
  <c r="H39" i="2" s="1"/>
  <c r="I27" i="2"/>
  <c r="J27" i="2" s="1"/>
  <c r="D62" i="2" s="1"/>
  <c r="G62" i="2" s="1"/>
  <c r="H62" i="2" s="1"/>
  <c r="I23" i="2"/>
  <c r="J23" i="2" s="1"/>
  <c r="D58" i="2" s="1"/>
  <c r="G58" i="2" s="1"/>
  <c r="H58" i="2" s="1"/>
  <c r="I58" i="2" s="1"/>
  <c r="J58" i="2" s="1"/>
  <c r="G9" i="3" s="1"/>
  <c r="D23" i="6" s="1"/>
  <c r="G23" i="6" s="1"/>
  <c r="H23" i="6" s="1"/>
  <c r="C23" i="8" s="1"/>
  <c r="I8" i="2"/>
  <c r="J8" i="2" s="1"/>
  <c r="D41" i="2" s="1"/>
  <c r="G41" i="2" s="1"/>
  <c r="H41" i="2" s="1"/>
  <c r="I26" i="2"/>
  <c r="J26" i="2" s="1"/>
  <c r="D61" i="2" s="1"/>
  <c r="G61" i="2" s="1"/>
  <c r="H61" i="2" s="1"/>
  <c r="I61" i="2" s="1"/>
  <c r="J61" i="2" s="1"/>
  <c r="G12" i="3" s="1"/>
  <c r="D26" i="6" s="1"/>
  <c r="G26" i="6" s="1"/>
  <c r="H26" i="6" s="1"/>
  <c r="C26" i="8" s="1"/>
  <c r="I22" i="2"/>
  <c r="J22" i="2" s="1"/>
  <c r="D57" i="2" s="1"/>
  <c r="G57" i="2" s="1"/>
  <c r="H57" i="2" s="1"/>
  <c r="I57" i="2" s="1"/>
  <c r="J57" i="2" s="1"/>
  <c r="G8" i="3" s="1"/>
  <c r="D22" i="6" s="1"/>
  <c r="G22" i="6" s="1"/>
  <c r="H22" i="6" s="1"/>
  <c r="C22" i="8" s="1"/>
  <c r="I11" i="2"/>
  <c r="J11" i="2" s="1"/>
  <c r="D44" i="2" s="1"/>
  <c r="G44" i="2" s="1"/>
  <c r="H44" i="2" s="1"/>
  <c r="I7" i="2"/>
  <c r="J7" i="2" s="1"/>
  <c r="D40" i="2" s="1"/>
  <c r="G40" i="2" s="1"/>
  <c r="H40" i="2" s="1"/>
  <c r="I29" i="2"/>
  <c r="I10" i="2"/>
  <c r="J10" i="2" s="1"/>
  <c r="D43" i="2" s="1"/>
  <c r="G43" i="2" s="1"/>
  <c r="H43" i="2" s="1"/>
  <c r="J9" i="2"/>
  <c r="D42" i="2" s="1"/>
  <c r="G42" i="2" s="1"/>
  <c r="H42" i="2" s="1"/>
  <c r="J24" i="2"/>
  <c r="D59" i="2" s="1"/>
  <c r="G59" i="2" s="1"/>
  <c r="H59" i="2" s="1"/>
  <c r="I59" i="2" s="1"/>
  <c r="J59" i="2" s="1"/>
  <c r="G10" i="3" s="1"/>
  <c r="D24" i="6" s="1"/>
  <c r="G24" i="6" s="1"/>
  <c r="H24" i="6" s="1"/>
  <c r="C24" i="8" s="1"/>
  <c r="J28" i="2"/>
  <c r="D63" i="2" s="1"/>
  <c r="G63" i="2" s="1"/>
  <c r="H63" i="2" s="1"/>
  <c r="I63" i="2" s="1"/>
  <c r="J63" i="2" s="1"/>
  <c r="G14" i="3" s="1"/>
  <c r="D28" i="6" s="1"/>
  <c r="G28" i="6" s="1"/>
  <c r="H28" i="6" s="1"/>
  <c r="C28" i="8" s="1"/>
  <c r="H23" i="4" l="1"/>
  <c r="I23" i="4" s="1"/>
  <c r="J23" i="4" s="1"/>
  <c r="D53" i="4" s="1"/>
  <c r="G53" i="4" s="1"/>
  <c r="H53" i="4" s="1"/>
  <c r="I53" i="4" s="1"/>
  <c r="J53" i="4" s="1"/>
  <c r="J10" i="3" s="1"/>
  <c r="D54" i="4"/>
  <c r="G54" i="4" s="1"/>
  <c r="H54" i="4" s="1"/>
  <c r="I54" i="4" s="1"/>
  <c r="J54" i="4" s="1"/>
  <c r="J11" i="3" s="1"/>
  <c r="H26" i="4"/>
  <c r="I26" i="4" s="1"/>
  <c r="J26" i="4" s="1"/>
  <c r="H25" i="4"/>
  <c r="I25" i="4" s="1"/>
  <c r="J25" i="4" s="1"/>
  <c r="H27" i="4"/>
  <c r="I27" i="4" s="1"/>
  <c r="J27" i="4" s="1"/>
  <c r="H20" i="4"/>
  <c r="I20" i="4" s="1"/>
  <c r="J20" i="4" s="1"/>
  <c r="H10" i="4"/>
  <c r="I10" i="4" s="1"/>
  <c r="J10" i="4" s="1"/>
  <c r="D40" i="4" s="1"/>
  <c r="G40" i="4" s="1"/>
  <c r="H40" i="4" s="1"/>
  <c r="I40" i="4" s="1"/>
  <c r="J40" i="4" s="1"/>
  <c r="I12" i="3" s="1"/>
  <c r="H9" i="4"/>
  <c r="I9" i="4" s="1"/>
  <c r="J9" i="4" s="1"/>
  <c r="D39" i="4" s="1"/>
  <c r="G39" i="4" s="1"/>
  <c r="H39" i="4" s="1"/>
  <c r="I39" i="4" s="1"/>
  <c r="J39" i="4" s="1"/>
  <c r="I11" i="3" s="1"/>
  <c r="H12" i="4"/>
  <c r="I12" i="4" s="1"/>
  <c r="J12" i="4" s="1"/>
  <c r="D42" i="4" s="1"/>
  <c r="G42" i="4" s="1"/>
  <c r="H42" i="4" s="1"/>
  <c r="I42" i="4" s="1"/>
  <c r="J42" i="4" s="1"/>
  <c r="I14" i="3" s="1"/>
  <c r="H6" i="4"/>
  <c r="I6" i="4" s="1"/>
  <c r="J6" i="4" s="1"/>
  <c r="D36" i="4" s="1"/>
  <c r="G36" i="4" s="1"/>
  <c r="H36" i="4" s="1"/>
  <c r="I36" i="4" s="1"/>
  <c r="J36" i="4" s="1"/>
  <c r="I8" i="3" s="1"/>
  <c r="H5" i="4"/>
  <c r="I5" i="4" s="1"/>
  <c r="J5" i="4" s="1"/>
  <c r="D35" i="4" s="1"/>
  <c r="G35" i="4" s="1"/>
  <c r="H35" i="4" s="1"/>
  <c r="I35" i="4" s="1"/>
  <c r="J35" i="4" s="1"/>
  <c r="I7" i="3" s="1"/>
  <c r="H11" i="4"/>
  <c r="I11" i="4" s="1"/>
  <c r="J11" i="4" s="1"/>
  <c r="D41" i="4" s="1"/>
  <c r="G41" i="4" s="1"/>
  <c r="H41" i="4" s="1"/>
  <c r="I41" i="4" s="1"/>
  <c r="J41" i="4" s="1"/>
  <c r="I13" i="3" s="1"/>
  <c r="H19" i="4"/>
  <c r="H22" i="4"/>
  <c r="I22" i="4" s="1"/>
  <c r="J22" i="4" s="1"/>
  <c r="H21" i="4"/>
  <c r="I21" i="4" s="1"/>
  <c r="J21" i="4" s="1"/>
  <c r="H8" i="4"/>
  <c r="I8" i="4" s="1"/>
  <c r="J8" i="4" s="1"/>
  <c r="D38" i="4" s="1"/>
  <c r="G38" i="4" s="1"/>
  <c r="H38" i="4" s="1"/>
  <c r="I38" i="4" s="1"/>
  <c r="J38" i="4" s="1"/>
  <c r="I10" i="3" s="1"/>
  <c r="H4" i="4"/>
  <c r="I41" i="2"/>
  <c r="J41" i="2" s="1"/>
  <c r="F10" i="3" s="1"/>
  <c r="D8" i="6" s="1"/>
  <c r="G8" i="6" s="1"/>
  <c r="H8" i="6" s="1"/>
  <c r="C8" i="8" s="1"/>
  <c r="I39" i="2"/>
  <c r="J39" i="2" s="1"/>
  <c r="F8" i="3" s="1"/>
  <c r="D6" i="6" s="1"/>
  <c r="G6" i="6" s="1"/>
  <c r="H6" i="6" s="1"/>
  <c r="C6" i="8" s="1"/>
  <c r="I43" i="2"/>
  <c r="J43" i="2" s="1"/>
  <c r="F12" i="3" s="1"/>
  <c r="D10" i="6" s="1"/>
  <c r="G10" i="6" s="1"/>
  <c r="H10" i="6" s="1"/>
  <c r="C10" i="8" s="1"/>
  <c r="I45" i="2"/>
  <c r="J45" i="2" s="1"/>
  <c r="F14" i="3" s="1"/>
  <c r="D12" i="6" s="1"/>
  <c r="G12" i="6" s="1"/>
  <c r="H12" i="6" s="1"/>
  <c r="C12" i="8" s="1"/>
  <c r="I40" i="2"/>
  <c r="J40" i="2" s="1"/>
  <c r="F9" i="3" s="1"/>
  <c r="D7" i="6" s="1"/>
  <c r="G7" i="6" s="1"/>
  <c r="H7" i="6" s="1"/>
  <c r="C7" i="8" s="1"/>
  <c r="I42" i="2"/>
  <c r="J42" i="2" s="1"/>
  <c r="F11" i="3" s="1"/>
  <c r="D9" i="6" s="1"/>
  <c r="G9" i="6" s="1"/>
  <c r="H9" i="6" s="1"/>
  <c r="C9" i="8" s="1"/>
  <c r="I44" i="2"/>
  <c r="J44" i="2" s="1"/>
  <c r="F13" i="3" s="1"/>
  <c r="D11" i="6" s="1"/>
  <c r="G11" i="6" s="1"/>
  <c r="H11" i="6" s="1"/>
  <c r="C11" i="8" s="1"/>
  <c r="I38" i="2"/>
  <c r="J38" i="2" s="1"/>
  <c r="F7" i="3" s="1"/>
  <c r="D5" i="6" s="1"/>
  <c r="G5" i="6" s="1"/>
  <c r="H5" i="6" s="1"/>
  <c r="C5" i="8" s="1"/>
  <c r="I20" i="2"/>
  <c r="J20" i="2" s="1"/>
  <c r="D55" i="2" s="1"/>
  <c r="G55" i="2" s="1"/>
  <c r="I4" i="2"/>
  <c r="I13" i="2" s="1"/>
  <c r="H13" i="2"/>
  <c r="D25" i="7" l="1"/>
  <c r="G25" i="7" s="1"/>
  <c r="H25" i="7" s="1"/>
  <c r="D25" i="8" s="1"/>
  <c r="E25" i="8" s="1"/>
  <c r="M10" i="3"/>
  <c r="P10" i="3" s="1"/>
  <c r="D24" i="7" s="1"/>
  <c r="G24" i="7" s="1"/>
  <c r="H24" i="7" s="1"/>
  <c r="D24" i="8" s="1"/>
  <c r="E24" i="8" s="1"/>
  <c r="M11" i="3"/>
  <c r="P11" i="3" s="1"/>
  <c r="M7" i="3"/>
  <c r="P7" i="3" s="1"/>
  <c r="D21" i="7" s="1"/>
  <c r="G21" i="7" s="1"/>
  <c r="H21" i="7" s="1"/>
  <c r="D21" i="8" s="1"/>
  <c r="E21" i="8" s="1"/>
  <c r="M12" i="3"/>
  <c r="P12" i="3" s="1"/>
  <c r="D26" i="7" s="1"/>
  <c r="G26" i="7" s="1"/>
  <c r="H26" i="7" s="1"/>
  <c r="D26" i="8" s="1"/>
  <c r="E26" i="8" s="1"/>
  <c r="L11" i="3"/>
  <c r="O11" i="3" s="1"/>
  <c r="D9" i="7" s="1"/>
  <c r="G9" i="7" s="1"/>
  <c r="H9" i="7" s="1"/>
  <c r="D9" i="8" s="1"/>
  <c r="E9" i="8" s="1"/>
  <c r="D52" i="4"/>
  <c r="G52" i="4" s="1"/>
  <c r="H52" i="4" s="1"/>
  <c r="I52" i="4" s="1"/>
  <c r="J52" i="4" s="1"/>
  <c r="J9" i="3" s="1"/>
  <c r="M9" i="3" s="1"/>
  <c r="P9" i="3" s="1"/>
  <c r="D23" i="7" s="1"/>
  <c r="G23" i="7" s="1"/>
  <c r="H23" i="7" s="1"/>
  <c r="D23" i="8" s="1"/>
  <c r="E23" i="8" s="1"/>
  <c r="D50" i="4"/>
  <c r="G50" i="4" s="1"/>
  <c r="H50" i="4" s="1"/>
  <c r="I50" i="4" s="1"/>
  <c r="J50" i="4" s="1"/>
  <c r="J7" i="3" s="1"/>
  <c r="D55" i="4"/>
  <c r="G55" i="4" s="1"/>
  <c r="H55" i="4" s="1"/>
  <c r="I55" i="4" s="1"/>
  <c r="J55" i="4" s="1"/>
  <c r="J12" i="3" s="1"/>
  <c r="D57" i="4"/>
  <c r="G57" i="4" s="1"/>
  <c r="H57" i="4" s="1"/>
  <c r="I57" i="4" s="1"/>
  <c r="J57" i="4" s="1"/>
  <c r="J14" i="3" s="1"/>
  <c r="M14" i="3" s="1"/>
  <c r="P14" i="3" s="1"/>
  <c r="D28" i="7" s="1"/>
  <c r="G28" i="7" s="1"/>
  <c r="H28" i="7" s="1"/>
  <c r="D28" i="8" s="1"/>
  <c r="E28" i="8" s="1"/>
  <c r="H55" i="2"/>
  <c r="I55" i="2" s="1"/>
  <c r="G64" i="2"/>
  <c r="H64" i="2" s="1"/>
  <c r="D51" i="4"/>
  <c r="G51" i="4" s="1"/>
  <c r="H51" i="4" s="1"/>
  <c r="I51" i="4" s="1"/>
  <c r="J51" i="4" s="1"/>
  <c r="J8" i="3" s="1"/>
  <c r="M8" i="3" s="1"/>
  <c r="P8" i="3" s="1"/>
  <c r="D22" i="7" s="1"/>
  <c r="G22" i="7" s="1"/>
  <c r="H22" i="7" s="1"/>
  <c r="D22" i="8" s="1"/>
  <c r="E22" i="8" s="1"/>
  <c r="D56" i="4"/>
  <c r="G56" i="4" s="1"/>
  <c r="H56" i="4" s="1"/>
  <c r="I56" i="4" s="1"/>
  <c r="J56" i="4" s="1"/>
  <c r="J13" i="3" s="1"/>
  <c r="M13" i="3" s="1"/>
  <c r="P13" i="3" s="1"/>
  <c r="D27" i="7" s="1"/>
  <c r="G27" i="7" s="1"/>
  <c r="H27" i="7" s="1"/>
  <c r="D27" i="8" s="1"/>
  <c r="E27" i="8" s="1"/>
  <c r="H13" i="4"/>
  <c r="I4" i="4"/>
  <c r="H28" i="4"/>
  <c r="I28" i="4" s="1"/>
  <c r="I19" i="4"/>
  <c r="J19" i="4" s="1"/>
  <c r="J4" i="2"/>
  <c r="D37" i="2" s="1"/>
  <c r="G37" i="2" s="1"/>
  <c r="G46" i="2" s="1"/>
  <c r="H46" i="2" s="1"/>
  <c r="L13" i="3" l="1"/>
  <c r="O13" i="3" s="1"/>
  <c r="D11" i="7" s="1"/>
  <c r="G11" i="7" s="1"/>
  <c r="H11" i="7" s="1"/>
  <c r="D11" i="8" s="1"/>
  <c r="E11" i="8" s="1"/>
  <c r="L12" i="3"/>
  <c r="O12" i="3" s="1"/>
  <c r="D10" i="7" s="1"/>
  <c r="G10" i="7" s="1"/>
  <c r="H10" i="7" s="1"/>
  <c r="D10" i="8" s="1"/>
  <c r="E10" i="8" s="1"/>
  <c r="L9" i="3"/>
  <c r="O9" i="3" s="1"/>
  <c r="D7" i="7" s="1"/>
  <c r="G7" i="7" s="1"/>
  <c r="H7" i="7" s="1"/>
  <c r="D7" i="8" s="1"/>
  <c r="E7" i="8" s="1"/>
  <c r="L8" i="3"/>
  <c r="O8" i="3" s="1"/>
  <c r="D6" i="7" s="1"/>
  <c r="G6" i="7" s="1"/>
  <c r="H6" i="7" s="1"/>
  <c r="D6" i="8" s="1"/>
  <c r="E6" i="8" s="1"/>
  <c r="L14" i="3"/>
  <c r="O14" i="3" s="1"/>
  <c r="D12" i="7" s="1"/>
  <c r="G12" i="7" s="1"/>
  <c r="H12" i="7" s="1"/>
  <c r="D12" i="8" s="1"/>
  <c r="E12" i="8" s="1"/>
  <c r="L7" i="3"/>
  <c r="O7" i="3" s="1"/>
  <c r="D5" i="7" s="1"/>
  <c r="G5" i="7" s="1"/>
  <c r="H5" i="7" s="1"/>
  <c r="D5" i="8" s="1"/>
  <c r="E5" i="8" s="1"/>
  <c r="L10" i="3"/>
  <c r="O10" i="3" s="1"/>
  <c r="D8" i="7" s="1"/>
  <c r="G8" i="7" s="1"/>
  <c r="H8" i="7" s="1"/>
  <c r="D8" i="8" s="1"/>
  <c r="E8" i="8" s="1"/>
  <c r="H37" i="2"/>
  <c r="I37" i="2" s="1"/>
  <c r="D49" i="4"/>
  <c r="G49" i="4" s="1"/>
  <c r="H49" i="4" s="1"/>
  <c r="I49" i="4" s="1"/>
  <c r="J55" i="2"/>
  <c r="G6" i="3" s="1"/>
  <c r="D20" i="6" s="1"/>
  <c r="G20" i="6" s="1"/>
  <c r="I64" i="2"/>
  <c r="J4" i="4"/>
  <c r="D34" i="4" s="1"/>
  <c r="G34" i="4" s="1"/>
  <c r="I13" i="4"/>
  <c r="J37" i="2"/>
  <c r="F6" i="3" s="1"/>
  <c r="D4" i="6" s="1"/>
  <c r="G4" i="6" s="1"/>
  <c r="I46" i="2"/>
  <c r="G58" i="4" l="1"/>
  <c r="H58" i="4" s="1"/>
  <c r="H4" i="6"/>
  <c r="C4" i="8" s="1"/>
  <c r="G13" i="6"/>
  <c r="H20" i="6"/>
  <c r="C20" i="8" s="1"/>
  <c r="G29" i="6"/>
  <c r="G43" i="4"/>
  <c r="H43" i="4" s="1"/>
  <c r="H34" i="4"/>
  <c r="I34" i="4" s="1"/>
  <c r="J49" i="4"/>
  <c r="J6" i="3" s="1"/>
  <c r="I58" i="4"/>
  <c r="H29" i="6" l="1"/>
  <c r="C29" i="8" s="1"/>
  <c r="G31" i="6"/>
  <c r="H31" i="6" s="1"/>
  <c r="C31" i="8" s="1"/>
  <c r="H13" i="6"/>
  <c r="C13" i="8" s="1"/>
  <c r="G15" i="6"/>
  <c r="J34" i="4"/>
  <c r="I6" i="3" s="1"/>
  <c r="L6" i="3" s="1"/>
  <c r="O6" i="3" s="1"/>
  <c r="D4" i="7" s="1"/>
  <c r="G4" i="7" s="1"/>
  <c r="H4" i="7" s="1"/>
  <c r="D4" i="8" s="1"/>
  <c r="E4" i="8" s="1"/>
  <c r="I43" i="4"/>
  <c r="H13" i="7" l="1"/>
  <c r="H15" i="7" s="1"/>
  <c r="D15" i="8" s="1"/>
  <c r="G13" i="7"/>
  <c r="G15" i="7" s="1"/>
  <c r="D13" i="8"/>
  <c r="E13" i="8" s="1"/>
  <c r="H15" i="6"/>
  <c r="G33" i="6"/>
  <c r="M6" i="3"/>
  <c r="P6" i="3" s="1"/>
  <c r="D20" i="7" s="1"/>
  <c r="G20" i="7" s="1"/>
  <c r="H33" i="6" l="1"/>
  <c r="C15" i="8"/>
  <c r="H20" i="7"/>
  <c r="G29" i="7"/>
  <c r="G31" i="7" s="1"/>
  <c r="G33" i="7" s="1"/>
  <c r="H29" i="7" l="1"/>
  <c r="D20" i="8"/>
  <c r="E20" i="8" s="1"/>
  <c r="E15" i="8"/>
  <c r="C33" i="8"/>
  <c r="H31" i="7" l="1"/>
  <c r="D29" i="8"/>
  <c r="E29" i="8" s="1"/>
  <c r="H33" i="7" l="1"/>
  <c r="D31" i="8"/>
  <c r="E31" i="8" l="1"/>
  <c r="E33" i="8" s="1"/>
  <c r="D33" i="8"/>
</calcChain>
</file>

<file path=xl/sharedStrings.xml><?xml version="1.0" encoding="utf-8"?>
<sst xmlns="http://schemas.openxmlformats.org/spreadsheetml/2006/main" count="581" uniqueCount="86">
  <si>
    <t>Rate Class</t>
  </si>
  <si>
    <t>Rate Description</t>
  </si>
  <si>
    <t>Unit</t>
  </si>
  <si>
    <t>Current RTSR-Network</t>
  </si>
  <si>
    <t>Loss Adjusted Billed kWh</t>
  </si>
  <si>
    <t>Billed kW</t>
  </si>
  <si>
    <t>Billed Amount</t>
  </si>
  <si>
    <t>Billed Amount %</t>
  </si>
  <si>
    <t>Current Wholesale Billing</t>
  </si>
  <si>
    <t>Adjusted RTSR Network</t>
  </si>
  <si>
    <t>Residential Service Classification</t>
  </si>
  <si>
    <t>Retail Transmission Rate - Network Service Rate</t>
  </si>
  <si>
    <t>$/kWh</t>
  </si>
  <si>
    <t>General Service Less Than 50 kW Service Classification</t>
  </si>
  <si>
    <t>General Service 50 To 4,999 kW Service Classification</t>
  </si>
  <si>
    <t>$/kW</t>
  </si>
  <si>
    <t>Retail Transmission Rate - Network Service Rate - Interval Metered</t>
  </si>
  <si>
    <t>General Service 1,000 To 4,999 kW (co-generation) Service Classification</t>
  </si>
  <si>
    <t>Large Use Service Classification</t>
  </si>
  <si>
    <t>Street Lighting Service Classification</t>
  </si>
  <si>
    <t>Sentinel Lighting Service Classification</t>
  </si>
  <si>
    <t>Unmetered Scattered Load Service Classification</t>
  </si>
  <si>
    <t>The purpose of this table is to re-align the current RTS Connection Rates to recover current wholesale connection costs.</t>
  </si>
  <si>
    <t>Current RTSR-Connection</t>
  </si>
  <si>
    <t>Adjusted RTSR-Connection</t>
  </si>
  <si>
    <t>Retail Transmission Rate - Line and Transformation Connection Service Rate</t>
  </si>
  <si>
    <t>Retail Transmission Rate - Line and Transformation Connection Service Rate - Interval Metered</t>
  </si>
  <si>
    <t>The purpose of this table is to update the re-aligned RTS Network Rates to recover future wholesale network costs.</t>
  </si>
  <si>
    <t>Adjusted RTSR-Network</t>
  </si>
  <si>
    <t>Proposed RTSR-Network</t>
  </si>
  <si>
    <t>The purpose of this table is to update the re-aligned RTS Connection Rates to recover future wholesale connection costs.</t>
  </si>
  <si>
    <t>Proposed RTSR-Connection</t>
  </si>
  <si>
    <t>The purpose of this table is to re-align the current RTS Network Rates to recover current wholesale network costs.</t>
  </si>
  <si>
    <t>2018 OEB Approved</t>
  </si>
  <si>
    <t>Network</t>
  </si>
  <si>
    <t>Connection</t>
  </si>
  <si>
    <t>2018 Corrected</t>
  </si>
  <si>
    <t>2017 OEB Approved</t>
  </si>
  <si>
    <t>2018 Proposed</t>
  </si>
  <si>
    <t>2018 Change</t>
  </si>
  <si>
    <t>A</t>
  </si>
  <si>
    <t>B</t>
  </si>
  <si>
    <t>C</t>
  </si>
  <si>
    <t>D</t>
  </si>
  <si>
    <t>E</t>
  </si>
  <si>
    <t>F</t>
  </si>
  <si>
    <t>G = E - C</t>
  </si>
  <si>
    <t>H = F - D</t>
  </si>
  <si>
    <t>Total</t>
  </si>
  <si>
    <t>Line Connection</t>
  </si>
  <si>
    <t>Transformation Connection</t>
  </si>
  <si>
    <t>Total Connection</t>
  </si>
  <si>
    <t>Month</t>
  </si>
  <si>
    <t>Units Billed</t>
  </si>
  <si>
    <t>Rate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</si>
  <si>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</si>
  <si>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</si>
  <si>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</si>
  <si>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</si>
  <si>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</si>
  <si>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</si>
  <si>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</si>
  <si>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</si>
  <si>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</si>
  <si>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</si>
  <si>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</si>
  <si>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</si>
  <si>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</si>
  <si>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2018 Recovery</t>
  </si>
  <si>
    <t>Expected 2018 Costs</t>
  </si>
  <si>
    <t xml:space="preserve">Potential 2018 Shortfall - Network Costs </t>
  </si>
  <si>
    <t xml:space="preserve">Potential 2018 Shortfall - Connection Costs </t>
  </si>
  <si>
    <t>Expected 2018 Shortfall Current Rates</t>
  </si>
  <si>
    <t>Seven Months</t>
  </si>
  <si>
    <t>Five Months</t>
  </si>
  <si>
    <t>I = E + G</t>
  </si>
  <si>
    <t>J = F + H</t>
  </si>
  <si>
    <t>RTS Connection Rates to recover future wholesale connection costs.</t>
  </si>
  <si>
    <t>RTS Network Rates to recover future wholesale network costs.</t>
  </si>
  <si>
    <t xml:space="preserve">Potential 2018 Recovery - Network Costs </t>
  </si>
  <si>
    <t xml:space="preserve">Potential 2018 Recovery - Connection Costs </t>
  </si>
  <si>
    <t>Expected 2018 Recovery Current Rates</t>
  </si>
  <si>
    <t>Annual Billed Amount</t>
  </si>
  <si>
    <t xml:space="preserve">Potential 2018 (Shortfall)/Recovery - Network Costs </t>
  </si>
  <si>
    <t xml:space="preserve">Potential 2018 (Shortfall)/Recovery - Connection Costs </t>
  </si>
  <si>
    <t>Expected 2018 (Shortfall)/Recovery 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</si>
</sst>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-* #,##0_-;\-* #,##0_-;_-* &quot;-&quot;??_-;_-@_-"/>
    <numFmt numFmtId="166" formatCode="0.0%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6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3" fontId="0" fillId="4" borderId="0" xfId="0" applyNumberFormat="1" applyFill="1"/>
    <xf numFmtId="167" fontId="0" fillId="0" borderId="0" xfId="1" applyNumberFormat="1" applyFont="1"/>
    <xf numFmtId="167" fontId="0" fillId="0" borderId="1" xfId="1" applyNumberFormat="1" applyFont="1" applyBorder="1"/>
    <xf numFmtId="167" fontId="0" fillId="4" borderId="0" xfId="1" applyNumberFormat="1" applyFont="1" applyFill="1"/>
    <xf numFmtId="167" fontId="3" fillId="4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165" fontId="0" fillId="0" borderId="2" xfId="0" applyNumberFormat="1" applyBorder="1"/>
    <xf numFmtId="44" fontId="0" fillId="0" borderId="2" xfId="0" applyNumberFormat="1" applyBorder="1"/>
    <xf numFmtId="169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6" xfId="0" applyNumberFormat="1" applyBorder="1"/>
    <xf numFmtId="44" fontId="0" fillId="0" borderId="0" xfId="0" applyNumberFormat="1" applyBorder="1"/>
    <xf numFmtId="169" fontId="0" fillId="0" borderId="0" xfId="0" applyNumberFormat="1" applyBorder="1"/>
    <xf numFmtId="165" fontId="0" fillId="0" borderId="0" xfId="0" applyNumberFormat="1" applyBorder="1"/>
    <xf numFmtId="169" fontId="0" fillId="0" borderId="7" xfId="0" applyNumberFormat="1" applyBorder="1"/>
    <xf numFmtId="165" fontId="0" fillId="0" borderId="8" xfId="0" applyNumberFormat="1" applyBorder="1"/>
    <xf numFmtId="0" fontId="0" fillId="0" borderId="9" xfId="0" applyBorder="1"/>
    <xf numFmtId="169" fontId="0" fillId="0" borderId="10" xfId="0" applyNumberFormat="1" applyBorder="1"/>
    <xf numFmtId="3" fontId="0" fillId="0" borderId="0" xfId="0" applyNumberFormat="1" applyFill="1"/>
    <xf numFmtId="167" fontId="3" fillId="0" borderId="1" xfId="1" applyNumberFormat="1" applyFont="1" applyFill="1" applyBorder="1"/>
    <xf numFmtId="167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Comma 4" xfId="3"/>
    <cellStyle name="Currency" xfId="1" builtinId="4"/>
    <cellStyle name="Currency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umm\Downloads\UPDATEDLondon_Hydro_2018%20IRM%20Rate%20Generator%20Model_20180322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2 1 5 TotalConsumptionData_Dist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UPDATEDLondon_Hydro_2018 IRM Ra"/>
    </sheetNames>
    <definedNames>
      <definedName name="forecast_wholesale_network" refersTo="='14. RTSR - Forecast Wholesale'!$F$109"/>
      <definedName name="total_current_wholesale_network" refersTo="='13. RTSR - Current Wholesale'!$F$109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9">
          <cell r="F109">
            <v>22792884.240000002</v>
          </cell>
          <cell r="P109">
            <v>19287510.310000002</v>
          </cell>
        </row>
        <row r="113">
          <cell r="P113">
            <v>19287510.310000002</v>
          </cell>
        </row>
      </sheetData>
      <sheetData sheetId="20">
        <row r="109">
          <cell r="F109">
            <v>22481506.039999999</v>
          </cell>
          <cell r="P109">
            <v>21957061.910000004</v>
          </cell>
        </row>
        <row r="113">
          <cell r="P113">
            <v>21957061.910000004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P14"/>
  <sheetViews>
    <sheetView workbookViewId="0">
      <selection activeCell="O6" sqref="O6:P14"/>
    </sheetView>
  </sheetViews>
  <sheetFormatPr defaultColWidth="9" defaultRowHeight="15" x14ac:dyDescent="0.25"/>
  <cols>
    <col min="2" max="2" width="65.85546875" bestFit="1" customWidth="1"/>
    <col min="4" max="4" width="11.140625" bestFit="1" customWidth="1"/>
    <col min="7" max="7" width="11.140625" bestFit="1" customWidth="1"/>
    <col min="10" max="10" width="11.140625" bestFit="1" customWidth="1"/>
    <col min="13" max="13" width="11.140625" bestFit="1" customWidth="1"/>
    <col min="16" max="16" width="11.140625" bestFit="1" customWidth="1"/>
  </cols>
  <sheetData>
    <row r="3" spans="2:16" x14ac:dyDescent="0.25">
      <c r="C3" s="41" t="s">
        <v>37</v>
      </c>
      <c r="D3" s="41"/>
      <c r="F3" s="41" t="s">
        <v>33</v>
      </c>
      <c r="G3" s="41"/>
      <c r="I3" s="41" t="s">
        <v>36</v>
      </c>
      <c r="J3" s="41"/>
      <c r="L3" s="41" t="s">
        <v>39</v>
      </c>
      <c r="M3" s="41"/>
      <c r="N3" s="12"/>
      <c r="O3" s="41" t="s">
        <v>38</v>
      </c>
      <c r="P3" s="41"/>
    </row>
    <row r="4" spans="2:16" x14ac:dyDescent="0.25">
      <c r="B4" t="s">
        <v>0</v>
      </c>
      <c r="C4" s="11" t="s">
        <v>34</v>
      </c>
      <c r="D4" s="11" t="s">
        <v>35</v>
      </c>
      <c r="F4" s="11" t="s">
        <v>34</v>
      </c>
      <c r="G4" s="11" t="s">
        <v>35</v>
      </c>
      <c r="I4" s="11" t="s">
        <v>34</v>
      </c>
      <c r="J4" s="11" t="s">
        <v>35</v>
      </c>
      <c r="L4" s="12" t="s">
        <v>34</v>
      </c>
      <c r="M4" s="12" t="s">
        <v>35</v>
      </c>
      <c r="N4" s="12"/>
      <c r="O4" s="12" t="s">
        <v>34</v>
      </c>
      <c r="P4" s="12" t="s">
        <v>35</v>
      </c>
    </row>
    <row r="5" spans="2:16" x14ac:dyDescent="0.25">
      <c r="C5" s="12" t="s">
        <v>40</v>
      </c>
      <c r="D5" s="12" t="s">
        <v>41</v>
      </c>
      <c r="F5" s="12" t="s">
        <v>42</v>
      </c>
      <c r="G5" s="12" t="s">
        <v>43</v>
      </c>
      <c r="I5" s="12" t="s">
        <v>44</v>
      </c>
      <c r="J5" s="12" t="s">
        <v>45</v>
      </c>
      <c r="L5" s="12" t="s">
        <v>46</v>
      </c>
      <c r="M5" s="12" t="s">
        <v>47</v>
      </c>
      <c r="N5" s="12"/>
      <c r="O5" s="12" t="s">
        <v>75</v>
      </c>
      <c r="P5" s="12" t="s">
        <v>76</v>
      </c>
    </row>
    <row r="6" spans="2:16" x14ac:dyDescent="0.25">
      <c r="B6" t="s">
        <v>10</v>
      </c>
      <c r="C6" s="13">
        <f>'2018 Full Orig'!D4</f>
        <v>6.8999999999999999E-3</v>
      </c>
      <c r="D6" s="13">
        <f>'2018 Full Orig'!D20</f>
        <v>6.1999999999999998E-3</v>
      </c>
      <c r="F6" s="13">
        <f>'2018 Full Orig'!J37</f>
        <v>4.8881033696641886E-3</v>
      </c>
      <c r="G6" s="13">
        <f>'2018 Full Orig'!J55</f>
        <v>4.7205301781279635E-3</v>
      </c>
      <c r="I6" s="13">
        <f>'2018 Full Corrected'!J34</f>
        <v>6.8818023247500726E-3</v>
      </c>
      <c r="J6" s="13">
        <f>'2018 Full Corrected'!J49</f>
        <v>6.6271506820038363E-3</v>
      </c>
      <c r="L6" s="13">
        <f>I6-F6</f>
        <v>1.993698955085884E-3</v>
      </c>
      <c r="M6" s="13">
        <f>J6-G6</f>
        <v>1.9066205038758728E-3</v>
      </c>
      <c r="N6" s="13"/>
      <c r="O6" s="13">
        <f>I6+L6</f>
        <v>8.8755012798359574E-3</v>
      </c>
      <c r="P6" s="13">
        <f>J6+M6</f>
        <v>8.53377118587971E-3</v>
      </c>
    </row>
    <row r="7" spans="2:16" x14ac:dyDescent="0.25">
      <c r="B7" t="s">
        <v>13</v>
      </c>
      <c r="C7" s="13">
        <f>'2018 Full Orig'!D5</f>
        <v>6.4999999999999997E-3</v>
      </c>
      <c r="D7" s="13">
        <f>'2018 Full Orig'!D21</f>
        <v>5.4999999999999997E-3</v>
      </c>
      <c r="F7" s="13">
        <f>'2018 Full Orig'!J38</f>
        <v>4.6047350557913936E-3</v>
      </c>
      <c r="G7" s="13">
        <f>'2018 Full Orig'!J56</f>
        <v>4.1875671051689661E-3</v>
      </c>
      <c r="I7" s="13">
        <f>'2018 Full Corrected'!J35</f>
        <v>6.4828572567790605E-3</v>
      </c>
      <c r="J7" s="13">
        <f>'2018 Full Corrected'!J50</f>
        <v>5.8789239775954849E-3</v>
      </c>
      <c r="L7" s="13">
        <f t="shared" ref="L7:L14" si="0">I7-F7</f>
        <v>1.8781222009876669E-3</v>
      </c>
      <c r="M7" s="13">
        <f t="shared" ref="M7:M14" si="1">J7-G7</f>
        <v>1.6913568724265188E-3</v>
      </c>
      <c r="N7" s="13"/>
      <c r="O7" s="13">
        <f t="shared" ref="O7:O14" si="2">I7+L7</f>
        <v>8.3609794577667283E-3</v>
      </c>
      <c r="P7" s="13">
        <f t="shared" ref="P7:P14" si="3">J7+M7</f>
        <v>7.5702808500220037E-3</v>
      </c>
    </row>
    <row r="8" spans="2:16" x14ac:dyDescent="0.25">
      <c r="B8" t="s">
        <v>14</v>
      </c>
      <c r="C8" s="13">
        <f>'2018 Full Orig'!D6</f>
        <v>2.2787999999999999</v>
      </c>
      <c r="D8" s="13">
        <f>'2018 Full Orig'!D22</f>
        <v>2.0034999999999998</v>
      </c>
      <c r="F8" s="13">
        <f>'2018 Full Orig'!J39</f>
        <v>1.6143492701814302</v>
      </c>
      <c r="G8" s="13">
        <f>'2018 Full Orig'!J57</f>
        <v>1.5254164863870803</v>
      </c>
      <c r="I8" s="13">
        <f>'2018 Full Corrected'!J36</f>
        <v>2.2727900193915875</v>
      </c>
      <c r="J8" s="13">
        <f>'2018 Full Corrected'!J51</f>
        <v>2.1415316749702105</v>
      </c>
      <c r="L8" s="13">
        <f t="shared" si="0"/>
        <v>0.65844074921015738</v>
      </c>
      <c r="M8" s="13">
        <f t="shared" si="1"/>
        <v>0.61611518858313019</v>
      </c>
      <c r="N8" s="13"/>
      <c r="O8" s="13">
        <f t="shared" si="2"/>
        <v>2.9312307686017451</v>
      </c>
      <c r="P8" s="13">
        <f t="shared" si="3"/>
        <v>2.7576468635533407</v>
      </c>
    </row>
    <row r="9" spans="2:16" x14ac:dyDescent="0.25">
      <c r="B9" t="s">
        <v>14</v>
      </c>
      <c r="C9" s="13">
        <f>'2018 Full Orig'!D7</f>
        <v>2.9222000000000001</v>
      </c>
      <c r="D9" s="13">
        <f>'2018 Full Orig'!D23</f>
        <v>2.7917999999999998</v>
      </c>
      <c r="F9" s="13">
        <f>'2018 Full Orig'!J40</f>
        <v>2.070147199629246</v>
      </c>
      <c r="G9" s="13">
        <f>'2018 Full Orig'!J58</f>
        <v>2.1256090603448619</v>
      </c>
      <c r="I9" s="13">
        <f>'2018 Full Corrected'!J37</f>
        <v>2.9144931505167646</v>
      </c>
      <c r="J9" s="13">
        <f>'2018 Full Corrected'!J52</f>
        <v>2.9841418194877773</v>
      </c>
      <c r="L9" s="13">
        <f t="shared" si="0"/>
        <v>0.84434595088751863</v>
      </c>
      <c r="M9" s="13">
        <f t="shared" si="1"/>
        <v>0.85853275914291549</v>
      </c>
      <c r="N9" s="13"/>
      <c r="O9" s="13">
        <f t="shared" si="2"/>
        <v>3.7588391014042832</v>
      </c>
      <c r="P9" s="13">
        <f t="shared" si="3"/>
        <v>3.8426745786306928</v>
      </c>
    </row>
    <row r="10" spans="2:16" x14ac:dyDescent="0.25">
      <c r="B10" t="s">
        <v>17</v>
      </c>
      <c r="C10" s="13">
        <f>'2018 Full Orig'!D8</f>
        <v>3.3734999999999999</v>
      </c>
      <c r="D10" s="13">
        <f>'2018 Full Orig'!D24</f>
        <v>2.9531000000000001</v>
      </c>
      <c r="F10" s="13">
        <f>'2018 Full Orig'!J41</f>
        <v>2.3898575110107698</v>
      </c>
      <c r="G10" s="13">
        <f>'2018 Full Orig'!J59</f>
        <v>2.2484189956230582</v>
      </c>
      <c r="I10" s="13">
        <f>'2018 Full Corrected'!J38</f>
        <v>3.3646029312400318</v>
      </c>
      <c r="J10" s="13">
        <f>'2018 Full Corrected'!J53</f>
        <v>3.156554609129322</v>
      </c>
      <c r="L10" s="13">
        <f t="shared" si="0"/>
        <v>0.97474542022926203</v>
      </c>
      <c r="M10" s="13">
        <f t="shared" si="1"/>
        <v>0.90813561350626371</v>
      </c>
      <c r="N10" s="13"/>
      <c r="O10" s="13">
        <f t="shared" si="2"/>
        <v>4.3393483514692939</v>
      </c>
      <c r="P10" s="13">
        <f t="shared" si="3"/>
        <v>4.0646902226355852</v>
      </c>
    </row>
    <row r="11" spans="2:16" x14ac:dyDescent="0.25">
      <c r="B11" t="s">
        <v>18</v>
      </c>
      <c r="C11" s="13">
        <f>'2018 Full Orig'!D9</f>
        <v>2.9933999999999998</v>
      </c>
      <c r="D11" s="13">
        <f>'2018 Full Orig'!D25</f>
        <v>2.7917999999999998</v>
      </c>
      <c r="F11" s="13">
        <f>'2018 Full Orig'!J42</f>
        <v>2.1205867515033021</v>
      </c>
      <c r="G11" s="13">
        <f>'2018 Full Orig'!J60</f>
        <v>2.1256090459960477</v>
      </c>
      <c r="I11" s="13">
        <f>'2018 Full Corrected'!J39</f>
        <v>2.9855053565863674</v>
      </c>
      <c r="J11" s="13">
        <f>'2018 Full Corrected'!J54</f>
        <v>2.9841418195327916</v>
      </c>
      <c r="L11" s="13">
        <f t="shared" si="0"/>
        <v>0.86491860508306528</v>
      </c>
      <c r="M11" s="13">
        <f t="shared" si="1"/>
        <v>0.85853277353674384</v>
      </c>
      <c r="N11" s="13"/>
      <c r="O11" s="13">
        <f t="shared" si="2"/>
        <v>3.8504239616694327</v>
      </c>
      <c r="P11" s="13">
        <f t="shared" si="3"/>
        <v>3.8426745930695354</v>
      </c>
    </row>
    <row r="12" spans="2:16" x14ac:dyDescent="0.25">
      <c r="B12" t="s">
        <v>19</v>
      </c>
      <c r="C12" s="13">
        <f>'2018 Full Orig'!D10</f>
        <v>2.0064000000000002</v>
      </c>
      <c r="D12" s="13">
        <f>'2018 Full Orig'!D26</f>
        <v>1.7641</v>
      </c>
      <c r="F12" s="13">
        <f>'2018 Full Orig'!J43</f>
        <v>1.4213753199251835</v>
      </c>
      <c r="G12" s="13">
        <f>'2018 Full Orig'!J61</f>
        <v>1.3431430207362336</v>
      </c>
      <c r="I12" s="13">
        <f>'2018 Full Corrected'!J40</f>
        <v>2.0011084104595067</v>
      </c>
      <c r="J12" s="13">
        <f>'2018 Full Corrected'!J55</f>
        <v>1.8856380820151</v>
      </c>
      <c r="L12" s="13">
        <f t="shared" si="0"/>
        <v>0.5797330905343232</v>
      </c>
      <c r="M12" s="13">
        <f t="shared" si="1"/>
        <v>0.54249506127886638</v>
      </c>
      <c r="N12" s="13"/>
      <c r="O12" s="13">
        <f t="shared" si="2"/>
        <v>2.5808415009938299</v>
      </c>
      <c r="P12" s="13">
        <f t="shared" si="3"/>
        <v>2.4281331432939663</v>
      </c>
    </row>
    <row r="13" spans="2:16" x14ac:dyDescent="0.25">
      <c r="B13" t="s">
        <v>20</v>
      </c>
      <c r="C13" s="13">
        <f>'2018 Full Orig'!D11</f>
        <v>2.0091000000000001</v>
      </c>
      <c r="D13" s="13">
        <f>'2018 Full Orig'!D27</f>
        <v>1.7665</v>
      </c>
      <c r="F13" s="13">
        <f>'2018 Full Orig'!J44</f>
        <v>1.423288939567527</v>
      </c>
      <c r="G13" s="13">
        <f>'2018 Full Orig'!J62</f>
        <v>1.344971204403324</v>
      </c>
      <c r="I13" s="13">
        <f>'2018 Full Corrected'!J41</f>
        <v>2.0038026022346305</v>
      </c>
      <c r="J13" s="13">
        <f>'2018 Full Corrected'!J56</f>
        <v>1.8882053367899403</v>
      </c>
      <c r="L13" s="13">
        <f t="shared" si="0"/>
        <v>0.58051366266710347</v>
      </c>
      <c r="M13" s="13">
        <f t="shared" si="1"/>
        <v>0.54323413238661633</v>
      </c>
      <c r="N13" s="13"/>
      <c r="O13" s="13">
        <f t="shared" si="2"/>
        <v>2.5843162649017337</v>
      </c>
      <c r="P13" s="13">
        <f t="shared" si="3"/>
        <v>2.4314394691765564</v>
      </c>
    </row>
    <row r="14" spans="2:16" x14ac:dyDescent="0.25">
      <c r="B14" t="s">
        <v>21</v>
      </c>
      <c r="C14" s="13">
        <f>'2018 Full Orig'!D12</f>
        <v>6.4999999999999997E-3</v>
      </c>
      <c r="D14" s="13">
        <f>'2018 Full Orig'!D28</f>
        <v>5.4999999999999997E-3</v>
      </c>
      <c r="F14" s="13">
        <f>'2018 Full Orig'!J45</f>
        <v>4.6047342913928284E-3</v>
      </c>
      <c r="G14" s="13">
        <f>'2018 Full Orig'!J63</f>
        <v>4.1875668181066928E-3</v>
      </c>
      <c r="I14" s="13">
        <f>'2018 Full Corrected'!J42</f>
        <v>6.4828577070621812E-3</v>
      </c>
      <c r="J14" s="13">
        <f>'2018 Full Corrected'!J57</f>
        <v>5.8789237305950388E-3</v>
      </c>
      <c r="L14" s="13">
        <f t="shared" si="0"/>
        <v>1.8781234156693529E-3</v>
      </c>
      <c r="M14" s="13">
        <f t="shared" si="1"/>
        <v>1.6913569124883459E-3</v>
      </c>
      <c r="N14" s="13"/>
      <c r="O14" s="13">
        <f t="shared" si="2"/>
        <v>8.3609811227315332E-3</v>
      </c>
      <c r="P14" s="13">
        <f t="shared" si="3"/>
        <v>7.5702806430833847E-3</v>
      </c>
    </row>
  </sheetData>
  <mergeCells count="5">
    <mergeCell ref="F3:G3"/>
    <mergeCell ref="I3:J3"/>
    <mergeCell ref="C3:D3"/>
    <mergeCell ref="L3:M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5"/>
  <sheetViews>
    <sheetView tabSelected="1" workbookViewId="0">
      <selection activeCell="A6" sqref="A6"/>
    </sheetView>
  </sheetViews>
  <sheetFormatPr defaultColWidth="48.28515625" defaultRowHeight="15" x14ac:dyDescent="0.25"/>
  <cols>
    <col min="1" max="1" width="59.28515625" customWidth="1"/>
    <col min="2" max="2" width="0" hidden="1" customWidth="1"/>
    <col min="3" max="3" width="6.85546875" bestFit="1" customWidth="1"/>
    <col min="4" max="4" width="16.42578125" customWidth="1"/>
    <col min="5" max="5" width="13.5703125" customWidth="1"/>
    <col min="6" max="6" width="10.85546875" bestFit="1" customWidth="1"/>
    <col min="7" max="7" width="15.28515625" bestFit="1" customWidth="1"/>
    <col min="8" max="8" width="9.42578125" customWidth="1"/>
    <col min="9" max="9" width="14.140625" customWidth="1"/>
    <col min="10" max="10" width="13.42578125" customWidth="1"/>
  </cols>
  <sheetData>
    <row r="1" spans="1:10" x14ac:dyDescent="0.25">
      <c r="A1" t="s">
        <v>32</v>
      </c>
    </row>
    <row r="2" spans="1:10" s="14" customFormat="1" ht="30" x14ac:dyDescent="0.25">
      <c r="A2" s="14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6" t="s">
        <v>8</v>
      </c>
      <c r="J2" s="15" t="s">
        <v>9</v>
      </c>
    </row>
    <row r="3" spans="1:10" x14ac:dyDescent="0.25">
      <c r="G3" s="3"/>
      <c r="H3" s="2"/>
      <c r="I3" s="3"/>
      <c r="J3" s="1"/>
    </row>
    <row r="4" spans="1:10" x14ac:dyDescent="0.25">
      <c r="A4" t="s">
        <v>10</v>
      </c>
      <c r="B4" t="s">
        <v>11</v>
      </c>
      <c r="C4" t="s">
        <v>12</v>
      </c>
      <c r="D4" s="1">
        <v>6.8999999999999999E-3</v>
      </c>
      <c r="E4" s="3">
        <v>1125362765.1448002</v>
      </c>
      <c r="F4" s="3">
        <v>0</v>
      </c>
      <c r="G4" s="7">
        <f>IF(ISERROR(D4*E4), 0, ROUND(D4*E4, 2))</f>
        <v>7765003.0800000001</v>
      </c>
      <c r="H4" s="2">
        <f>G4/$G$13</f>
        <v>0.24468509876274133</v>
      </c>
      <c r="I4" s="7">
        <f>H4*$I$14</f>
        <v>5577079.1313521313</v>
      </c>
      <c r="J4" s="1">
        <f>IF(ISERROR(I4/E4), 0, I4/E4)</f>
        <v>4.9558056336034273E-3</v>
      </c>
    </row>
    <row r="5" spans="1:10" x14ac:dyDescent="0.25">
      <c r="A5" t="s">
        <v>13</v>
      </c>
      <c r="B5" t="s">
        <v>11</v>
      </c>
      <c r="C5" t="s">
        <v>12</v>
      </c>
      <c r="D5" s="1">
        <v>6.4999999999999997E-3</v>
      </c>
      <c r="E5" s="3">
        <v>406328469.68500006</v>
      </c>
      <c r="F5" s="3">
        <v>0</v>
      </c>
      <c r="G5" s="7">
        <f>IF(ISERROR(D5*E5), 0, ROUND(D5*E5, 2))</f>
        <v>2641135.0499999998</v>
      </c>
      <c r="H5" s="2">
        <f t="shared" ref="H5:H12" si="0">G5/$G$13</f>
        <v>8.3225516319433035E-2</v>
      </c>
      <c r="I5" s="7">
        <f t="shared" ref="I5:I12" si="1">H5*$I$14</f>
        <v>1896949.5592830682</v>
      </c>
      <c r="J5" s="1">
        <f>IF(ISERROR(I5/E5), 0, I5/E5)</f>
        <v>4.668512547874505E-3</v>
      </c>
    </row>
    <row r="6" spans="1:10" x14ac:dyDescent="0.25">
      <c r="A6" t="s">
        <v>14</v>
      </c>
      <c r="B6" t="s">
        <v>11</v>
      </c>
      <c r="C6" t="s">
        <v>15</v>
      </c>
      <c r="D6" s="1">
        <v>2.2787999999999999</v>
      </c>
      <c r="E6" s="3"/>
      <c r="F6" s="4">
        <v>3763315.33</v>
      </c>
      <c r="G6" s="7">
        <f t="shared" ref="G6:G11" si="2">IF(ISERROR(D6*F6), 0, ROUND(D6*F6, 2))</f>
        <v>8575842.9700000007</v>
      </c>
      <c r="H6" s="2">
        <f t="shared" si="0"/>
        <v>0.27023569243557999</v>
      </c>
      <c r="I6" s="7">
        <f t="shared" si="1"/>
        <v>6159450.8552004192</v>
      </c>
      <c r="J6" s="1">
        <f t="shared" ref="J6:J11" si="3">IF(ISERROR(I6/F6), 0, I6/F6)</f>
        <v>1.6367086770803283</v>
      </c>
    </row>
    <row r="7" spans="1:10" x14ac:dyDescent="0.25">
      <c r="A7" t="s">
        <v>14</v>
      </c>
      <c r="B7" t="s">
        <v>16</v>
      </c>
      <c r="C7" t="s">
        <v>15</v>
      </c>
      <c r="D7" s="1">
        <v>2.9222000000000001</v>
      </c>
      <c r="E7" s="3"/>
      <c r="F7" s="4">
        <v>3763315.33</v>
      </c>
      <c r="G7" s="7">
        <f t="shared" si="2"/>
        <v>10997160.060000001</v>
      </c>
      <c r="H7" s="2">
        <f t="shared" si="0"/>
        <v>0.3465344659452182</v>
      </c>
      <c r="I7" s="7">
        <f t="shared" si="1"/>
        <v>7898519.9674595809</v>
      </c>
      <c r="J7" s="1">
        <f t="shared" si="3"/>
        <v>2.0988195978410293</v>
      </c>
    </row>
    <row r="8" spans="1:10" x14ac:dyDescent="0.25">
      <c r="A8" t="s">
        <v>17</v>
      </c>
      <c r="B8" t="s">
        <v>11</v>
      </c>
      <c r="C8" t="s">
        <v>15</v>
      </c>
      <c r="D8" s="1">
        <v>3.3734999999999999</v>
      </c>
      <c r="E8" s="3"/>
      <c r="F8" s="3">
        <v>243439</v>
      </c>
      <c r="G8" s="7">
        <f t="shared" si="2"/>
        <v>821241.47</v>
      </c>
      <c r="H8" s="2">
        <f t="shared" si="0"/>
        <v>2.5878360655461435E-2</v>
      </c>
      <c r="I8" s="7">
        <f t="shared" si="1"/>
        <v>589842.47874090308</v>
      </c>
      <c r="J8" s="1">
        <f t="shared" si="3"/>
        <v>2.4229580253817304</v>
      </c>
    </row>
    <row r="9" spans="1:10" x14ac:dyDescent="0.25">
      <c r="A9" t="s">
        <v>18</v>
      </c>
      <c r="B9" t="s">
        <v>16</v>
      </c>
      <c r="C9" t="s">
        <v>15</v>
      </c>
      <c r="D9" s="1">
        <v>2.9933999999999998</v>
      </c>
      <c r="E9" s="3"/>
      <c r="F9" s="3">
        <v>258044</v>
      </c>
      <c r="G9" s="7">
        <f t="shared" si="2"/>
        <v>772428.91</v>
      </c>
      <c r="H9" s="2">
        <f t="shared" si="0"/>
        <v>2.4340214959779082E-2</v>
      </c>
      <c r="I9" s="7">
        <f t="shared" si="1"/>
        <v>554783.70195496094</v>
      </c>
      <c r="J9" s="1">
        <f t="shared" si="3"/>
        <v>2.1499577667179279</v>
      </c>
    </row>
    <row r="10" spans="1:10" x14ac:dyDescent="0.25">
      <c r="A10" t="s">
        <v>19</v>
      </c>
      <c r="B10" t="s">
        <v>11</v>
      </c>
      <c r="C10" t="s">
        <v>15</v>
      </c>
      <c r="D10" s="1">
        <v>2.0064000000000002</v>
      </c>
      <c r="E10" s="3"/>
      <c r="F10" s="3">
        <v>59983.5</v>
      </c>
      <c r="G10" s="7">
        <f t="shared" si="2"/>
        <v>120350.89</v>
      </c>
      <c r="H10" s="2">
        <f t="shared" si="0"/>
        <v>3.7924092369881995E-3</v>
      </c>
      <c r="I10" s="7">
        <f t="shared" si="1"/>
        <v>86439.944729378767</v>
      </c>
      <c r="J10" s="1">
        <f t="shared" si="3"/>
        <v>1.4410620375499723</v>
      </c>
    </row>
    <row r="11" spans="1:10" x14ac:dyDescent="0.25">
      <c r="A11" t="s">
        <v>20</v>
      </c>
      <c r="B11" t="s">
        <v>11</v>
      </c>
      <c r="C11" t="s">
        <v>15</v>
      </c>
      <c r="D11" s="1">
        <v>2.0091000000000001</v>
      </c>
      <c r="E11" s="3"/>
      <c r="F11" s="3">
        <v>1939.72</v>
      </c>
      <c r="G11" s="7">
        <f t="shared" si="2"/>
        <v>3897.09</v>
      </c>
      <c r="H11" s="2">
        <f t="shared" si="0"/>
        <v>1.2280225026482433E-4</v>
      </c>
      <c r="I11" s="7">
        <f t="shared" si="1"/>
        <v>2799.0174746976509</v>
      </c>
      <c r="J11" s="1">
        <f t="shared" si="3"/>
        <v>1.4430007808846899</v>
      </c>
    </row>
    <row r="12" spans="1:10" x14ac:dyDescent="0.25">
      <c r="A12" t="s">
        <v>21</v>
      </c>
      <c r="B12" t="s">
        <v>11</v>
      </c>
      <c r="C12" t="s">
        <v>12</v>
      </c>
      <c r="D12" s="1">
        <v>6.4999999999999997E-3</v>
      </c>
      <c r="E12" s="3">
        <v>5787621.6885000002</v>
      </c>
      <c r="F12" s="3">
        <v>0</v>
      </c>
      <c r="G12" s="7">
        <f>IF(ISERROR(D12*E12), 0, ROUND(D12*E12, 2))</f>
        <v>37619.54</v>
      </c>
      <c r="H12" s="2">
        <f t="shared" si="0"/>
        <v>1.1854394345338622E-3</v>
      </c>
      <c r="I12" s="7">
        <f t="shared" si="1"/>
        <v>27019.58380486138</v>
      </c>
      <c r="J12" s="1">
        <f>IF(ISERROR(I12/E12), 0, I12/E12)</f>
        <v>4.6685124320667458E-3</v>
      </c>
    </row>
    <row r="13" spans="1:10" x14ac:dyDescent="0.25">
      <c r="D13" s="1"/>
      <c r="E13" s="3"/>
      <c r="F13" s="3"/>
      <c r="G13" s="10">
        <f>SUM(G4:G12)</f>
        <v>31734679.060000002</v>
      </c>
      <c r="H13" s="2">
        <f>SUM(H4:H12)</f>
        <v>1</v>
      </c>
      <c r="I13" s="8">
        <f>SUM(I4:I12)</f>
        <v>22792884.240000002</v>
      </c>
      <c r="J13" s="1"/>
    </row>
    <row r="14" spans="1:10" x14ac:dyDescent="0.25">
      <c r="D14" s="1"/>
      <c r="E14" s="3"/>
      <c r="F14" s="3"/>
      <c r="G14" s="3"/>
      <c r="H14" s="2"/>
      <c r="I14" s="9">
        <v>22792884.240000002</v>
      </c>
      <c r="J14" s="1"/>
    </row>
    <row r="15" spans="1:10" x14ac:dyDescent="0.25">
      <c r="D15" s="1"/>
      <c r="E15" s="3"/>
      <c r="F15" s="3"/>
      <c r="G15" s="3"/>
      <c r="H15" s="2"/>
      <c r="I15" s="3"/>
      <c r="J15" s="1"/>
    </row>
    <row r="17" spans="1:10" x14ac:dyDescent="0.25">
      <c r="A17" t="s">
        <v>22</v>
      </c>
    </row>
    <row r="18" spans="1:10" s="14" customFormat="1" ht="30" x14ac:dyDescent="0.25">
      <c r="A18" s="14" t="s">
        <v>0</v>
      </c>
      <c r="B18" s="14" t="s">
        <v>1</v>
      </c>
      <c r="C18" s="14" t="s">
        <v>2</v>
      </c>
      <c r="D18" s="15" t="s">
        <v>23</v>
      </c>
      <c r="E18" s="16" t="s">
        <v>4</v>
      </c>
      <c r="F18" s="16" t="s">
        <v>5</v>
      </c>
      <c r="G18" s="16" t="s">
        <v>6</v>
      </c>
      <c r="H18" s="17" t="s">
        <v>7</v>
      </c>
      <c r="I18" s="16" t="s">
        <v>8</v>
      </c>
      <c r="J18" s="15" t="s">
        <v>24</v>
      </c>
    </row>
    <row r="20" spans="1:10" x14ac:dyDescent="0.25">
      <c r="A20" t="s">
        <v>10</v>
      </c>
      <c r="B20" t="s">
        <v>25</v>
      </c>
      <c r="C20" t="s">
        <v>12</v>
      </c>
      <c r="D20" s="1">
        <v>6.1999999999999998E-3</v>
      </c>
      <c r="E20" s="3">
        <v>1125362765.1448002</v>
      </c>
      <c r="F20" s="3">
        <v>0</v>
      </c>
      <c r="G20" s="7">
        <f>IF(ISERROR(D20*E20), 0, ROUND(D20*E20, 2))</f>
        <v>6977249.1399999997</v>
      </c>
      <c r="H20" s="2">
        <f>G20/$G$29</f>
        <v>0.24194078962881219</v>
      </c>
      <c r="I20" s="7">
        <f>H20*$I$30</f>
        <v>4666435.4743752563</v>
      </c>
      <c r="J20" s="1">
        <f>IF(ISERROR(I20/E20), 0, I20/E20)</f>
        <v>4.1466055381482493E-3</v>
      </c>
    </row>
    <row r="21" spans="1:10" x14ac:dyDescent="0.25">
      <c r="A21" t="s">
        <v>13</v>
      </c>
      <c r="B21" t="s">
        <v>25</v>
      </c>
      <c r="C21" t="s">
        <v>12</v>
      </c>
      <c r="D21" s="1">
        <v>5.4999999999999997E-3</v>
      </c>
      <c r="E21" s="3">
        <v>406328469.68500006</v>
      </c>
      <c r="F21" s="3">
        <v>0</v>
      </c>
      <c r="G21" s="7">
        <f>IF(ISERROR(D21*E21), 0, ROUND(D21*E21, 2))</f>
        <v>2234806.58</v>
      </c>
      <c r="H21" s="2">
        <f t="shared" ref="H21:H28" si="4">G21/$G$29</f>
        <v>7.7493415783754752E-2</v>
      </c>
      <c r="I21" s="7">
        <f t="shared" ref="I21:I29" si="5">H21*$I$30</f>
        <v>1494655.0558862868</v>
      </c>
      <c r="J21" s="1">
        <f>IF(ISERROR(I21/E21), 0, I21/E21)</f>
        <v>3.6784403934211041E-3</v>
      </c>
    </row>
    <row r="22" spans="1:10" x14ac:dyDescent="0.25">
      <c r="A22" t="s">
        <v>14</v>
      </c>
      <c r="B22" t="s">
        <v>25</v>
      </c>
      <c r="C22" t="s">
        <v>15</v>
      </c>
      <c r="D22" s="1">
        <v>2.0034999999999998</v>
      </c>
      <c r="E22" s="3"/>
      <c r="F22" s="4">
        <v>3763315.33</v>
      </c>
      <c r="G22" s="7">
        <f t="shared" ref="G22:G27" si="6">IF(ISERROR(D22*F22), 0, ROUND(D22*F22, 2))</f>
        <v>7539802.2599999998</v>
      </c>
      <c r="H22" s="2">
        <f t="shared" si="4"/>
        <v>0.26144769605138435</v>
      </c>
      <c r="I22" s="7">
        <f t="shared" si="5"/>
        <v>5042675.1331168227</v>
      </c>
      <c r="J22" s="1">
        <f t="shared" ref="J22:J27" si="7">IF(ISERROR(I22/F22), 0, I22/F22)</f>
        <v>1.3399555155312544</v>
      </c>
    </row>
    <row r="23" spans="1:10" x14ac:dyDescent="0.25">
      <c r="A23" t="s">
        <v>14</v>
      </c>
      <c r="B23" t="s">
        <v>26</v>
      </c>
      <c r="C23" t="s">
        <v>15</v>
      </c>
      <c r="D23" s="1">
        <v>2.7917999999999998</v>
      </c>
      <c r="E23" s="3"/>
      <c r="F23" s="4">
        <v>3763315.33</v>
      </c>
      <c r="G23" s="7">
        <f t="shared" si="6"/>
        <v>10506423.74</v>
      </c>
      <c r="H23" s="2">
        <f t="shared" si="4"/>
        <v>0.36431728390746537</v>
      </c>
      <c r="I23" s="7">
        <f t="shared" si="5"/>
        <v>7026773.3694764366</v>
      </c>
      <c r="J23" s="1">
        <f t="shared" si="7"/>
        <v>1.8671763467337286</v>
      </c>
    </row>
    <row r="24" spans="1:10" x14ac:dyDescent="0.25">
      <c r="A24" t="s">
        <v>17</v>
      </c>
      <c r="B24" t="s">
        <v>25</v>
      </c>
      <c r="C24" t="s">
        <v>15</v>
      </c>
      <c r="D24" s="1">
        <v>2.9531000000000001</v>
      </c>
      <c r="E24" s="3"/>
      <c r="F24" s="3">
        <v>243439</v>
      </c>
      <c r="G24" s="7">
        <f t="shared" si="6"/>
        <v>718899.71</v>
      </c>
      <c r="H24" s="2">
        <f t="shared" si="4"/>
        <v>2.4928329204154533E-2</v>
      </c>
      <c r="I24" s="7">
        <f t="shared" si="5"/>
        <v>480805.40653620468</v>
      </c>
      <c r="J24" s="1">
        <f t="shared" si="7"/>
        <v>1.9750549687445507</v>
      </c>
    </row>
    <row r="25" spans="1:10" x14ac:dyDescent="0.25">
      <c r="A25" t="s">
        <v>18</v>
      </c>
      <c r="B25" t="s">
        <v>26</v>
      </c>
      <c r="C25" t="s">
        <v>15</v>
      </c>
      <c r="D25" s="1">
        <v>2.7917999999999998</v>
      </c>
      <c r="E25" s="3"/>
      <c r="F25" s="3">
        <v>258044</v>
      </c>
      <c r="G25" s="7">
        <f t="shared" si="6"/>
        <v>720407.24</v>
      </c>
      <c r="H25" s="2">
        <f t="shared" si="4"/>
        <v>2.4980603817153248E-2</v>
      </c>
      <c r="I25" s="7">
        <f t="shared" si="5"/>
        <v>481813.65367336868</v>
      </c>
      <c r="J25" s="1">
        <f t="shared" si="7"/>
        <v>1.8671763485040096</v>
      </c>
    </row>
    <row r="26" spans="1:10" x14ac:dyDescent="0.25">
      <c r="A26" t="s">
        <v>19</v>
      </c>
      <c r="B26" t="s">
        <v>25</v>
      </c>
      <c r="C26" t="s">
        <v>15</v>
      </c>
      <c r="D26" s="1">
        <v>1.7641</v>
      </c>
      <c r="E26" s="3"/>
      <c r="F26" s="3">
        <v>59983.5</v>
      </c>
      <c r="G26" s="7">
        <f t="shared" si="6"/>
        <v>105816.89</v>
      </c>
      <c r="H26" s="2">
        <f t="shared" si="4"/>
        <v>3.6692715723585529E-3</v>
      </c>
      <c r="I26" s="7">
        <f t="shared" si="5"/>
        <v>70771.113282055507</v>
      </c>
      <c r="J26" s="1">
        <f t="shared" si="7"/>
        <v>1.1798430115290957</v>
      </c>
    </row>
    <row r="27" spans="1:10" x14ac:dyDescent="0.25">
      <c r="A27" t="s">
        <v>20</v>
      </c>
      <c r="B27" t="s">
        <v>25</v>
      </c>
      <c r="C27" t="s">
        <v>15</v>
      </c>
      <c r="D27" s="1">
        <v>1.7665</v>
      </c>
      <c r="E27" s="3"/>
      <c r="F27" s="3">
        <v>1939.72</v>
      </c>
      <c r="G27" s="7">
        <f t="shared" si="6"/>
        <v>3426.52</v>
      </c>
      <c r="H27" s="2">
        <f t="shared" si="4"/>
        <v>1.1881687723120599E-4</v>
      </c>
      <c r="I27" s="7">
        <f t="shared" si="5"/>
        <v>2291.68174459889</v>
      </c>
      <c r="J27" s="1">
        <f t="shared" si="7"/>
        <v>1.1814497683165044</v>
      </c>
    </row>
    <row r="28" spans="1:10" x14ac:dyDescent="0.25">
      <c r="A28" t="s">
        <v>21</v>
      </c>
      <c r="B28" t="s">
        <v>25</v>
      </c>
      <c r="C28" t="s">
        <v>12</v>
      </c>
      <c r="D28" s="1">
        <v>5.4999999999999997E-3</v>
      </c>
      <c r="E28" s="3">
        <v>5787621.6885000002</v>
      </c>
      <c r="F28" s="3">
        <v>0</v>
      </c>
      <c r="G28" s="7">
        <f>IF(ISERROR(D28*E28), 0, ROUND(D28*E28, 2))</f>
        <v>31831.919999999998</v>
      </c>
      <c r="H28" s="2">
        <f t="shared" si="4"/>
        <v>1.1037931576858067E-3</v>
      </c>
      <c r="I28" s="7">
        <f t="shared" si="5"/>
        <v>21289.421908972457</v>
      </c>
      <c r="J28" s="1">
        <f>IF(ISERROR(I28/E28), 0, I28/E28)</f>
        <v>3.6784404812212454E-3</v>
      </c>
    </row>
    <row r="29" spans="1:10" x14ac:dyDescent="0.25">
      <c r="D29" s="1"/>
      <c r="E29" s="3"/>
      <c r="F29" s="3"/>
      <c r="G29" s="10">
        <f>SUM(G20:G28)</f>
        <v>28838664</v>
      </c>
      <c r="H29" s="2">
        <f>SUM(H20:H28)</f>
        <v>1</v>
      </c>
      <c r="I29" s="8">
        <f t="shared" si="5"/>
        <v>19287510.310000002</v>
      </c>
      <c r="J29" s="1"/>
    </row>
    <row r="30" spans="1:10" x14ac:dyDescent="0.25">
      <c r="D30" s="1"/>
      <c r="E30" s="3"/>
      <c r="F30" s="3"/>
      <c r="G30" s="3"/>
      <c r="H30" s="2"/>
      <c r="I30" s="9">
        <v>19287510.310000002</v>
      </c>
      <c r="J30" s="1"/>
    </row>
    <row r="31" spans="1:10" x14ac:dyDescent="0.25">
      <c r="D31" s="1"/>
      <c r="E31" s="3"/>
      <c r="F31" s="3"/>
      <c r="G31" s="3"/>
      <c r="H31" s="2"/>
      <c r="I31" s="3"/>
      <c r="J31" s="1"/>
    </row>
    <row r="32" spans="1:10" x14ac:dyDescent="0.25">
      <c r="D32" s="1"/>
      <c r="E32" s="3"/>
      <c r="F32" s="3"/>
      <c r="G32" s="3"/>
      <c r="H32" s="2"/>
      <c r="I32" s="3"/>
      <c r="J32" s="1"/>
    </row>
    <row r="34" spans="1:10" x14ac:dyDescent="0.25">
      <c r="A34" t="s">
        <v>27</v>
      </c>
    </row>
    <row r="35" spans="1:10" s="14" customFormat="1" ht="45" x14ac:dyDescent="0.25">
      <c r="A35" s="14" t="s">
        <v>0</v>
      </c>
      <c r="B35" s="14" t="s">
        <v>1</v>
      </c>
      <c r="C35" s="14" t="s">
        <v>2</v>
      </c>
      <c r="D35" s="15" t="s">
        <v>28</v>
      </c>
      <c r="E35" s="16" t="s">
        <v>4</v>
      </c>
      <c r="F35" s="16" t="s">
        <v>5</v>
      </c>
      <c r="G35" s="16" t="s">
        <v>6</v>
      </c>
      <c r="H35" s="17" t="s">
        <v>7</v>
      </c>
      <c r="I35" s="16" t="s">
        <v>8</v>
      </c>
      <c r="J35" s="15" t="s">
        <v>29</v>
      </c>
    </row>
    <row r="37" spans="1:10" x14ac:dyDescent="0.25">
      <c r="A37" t="s">
        <v>10</v>
      </c>
      <c r="B37" t="s">
        <v>11</v>
      </c>
      <c r="C37" t="s">
        <v>12</v>
      </c>
      <c r="D37" s="1">
        <f>J4</f>
        <v>4.9558056336034273E-3</v>
      </c>
      <c r="E37" s="3">
        <v>1125362765.1448002</v>
      </c>
      <c r="F37" s="3">
        <v>0</v>
      </c>
      <c r="G37" s="7">
        <f>IF(ISERROR(D37*E37), 0, ROUND(D37*E37, 2))</f>
        <v>5577079.1299999999</v>
      </c>
      <c r="H37" s="2">
        <f t="shared" ref="H37:H46" si="8">G37/22792884.24</f>
        <v>0.24468509870341887</v>
      </c>
      <c r="I37" s="7">
        <f>H37*$I$47</f>
        <v>5500889.5243989071</v>
      </c>
      <c r="J37" s="1">
        <f>IF(ISERROR(I37/E37), 0, I37/E37)</f>
        <v>4.8881033696641886E-3</v>
      </c>
    </row>
    <row r="38" spans="1:10" x14ac:dyDescent="0.25">
      <c r="A38" t="s">
        <v>13</v>
      </c>
      <c r="B38" t="s">
        <v>11</v>
      </c>
      <c r="C38" t="s">
        <v>12</v>
      </c>
      <c r="D38" s="1">
        <f t="shared" ref="D38:D45" si="9">J5</f>
        <v>4.668512547874505E-3</v>
      </c>
      <c r="E38" s="3">
        <v>406328469.68500006</v>
      </c>
      <c r="F38" s="3">
        <v>0</v>
      </c>
      <c r="G38" s="7">
        <f>IF(ISERROR(D38*E38), 0, ROUND(D38*E38, 2))</f>
        <v>1896949.56</v>
      </c>
      <c r="H38" s="2">
        <f t="shared" si="8"/>
        <v>8.3225516350887249E-2</v>
      </c>
      <c r="I38" s="7">
        <f t="shared" ref="I38:I45" si="10">H38*$I$47</f>
        <v>1871034.9485245903</v>
      </c>
      <c r="J38" s="1">
        <f>IF(ISERROR(I38/E38), 0, I38/E38)</f>
        <v>4.6047350557913936E-3</v>
      </c>
    </row>
    <row r="39" spans="1:10" x14ac:dyDescent="0.25">
      <c r="A39" t="s">
        <v>14</v>
      </c>
      <c r="B39" t="s">
        <v>11</v>
      </c>
      <c r="C39" t="s">
        <v>15</v>
      </c>
      <c r="D39" s="1">
        <f t="shared" si="9"/>
        <v>1.6367086770803283</v>
      </c>
      <c r="E39" s="3"/>
      <c r="F39" s="4">
        <v>3763315.33</v>
      </c>
      <c r="G39" s="7">
        <f t="shared" ref="G39:G44" si="11">IF(ISERROR(D39*F39), 0, ROUND(D39*F39, 2))</f>
        <v>6159450.8600000003</v>
      </c>
      <c r="H39" s="2">
        <f t="shared" si="8"/>
        <v>0.27023569264615371</v>
      </c>
      <c r="I39" s="7">
        <f t="shared" si="10"/>
        <v>6075305.3564480878</v>
      </c>
      <c r="J39" s="1">
        <f t="shared" ref="J39:J44" si="12">IF(ISERROR(I39/F39), 0, I39/F39)</f>
        <v>1.6143492701814302</v>
      </c>
    </row>
    <row r="40" spans="1:10" x14ac:dyDescent="0.25">
      <c r="A40" t="s">
        <v>14</v>
      </c>
      <c r="B40" t="s">
        <v>16</v>
      </c>
      <c r="C40" t="s">
        <v>15</v>
      </c>
      <c r="D40" s="1">
        <f t="shared" si="9"/>
        <v>2.0988195978410293</v>
      </c>
      <c r="E40" s="3"/>
      <c r="F40" s="4">
        <v>3763315.33</v>
      </c>
      <c r="G40" s="7">
        <f t="shared" si="11"/>
        <v>7898519.9699999997</v>
      </c>
      <c r="H40" s="2">
        <f t="shared" si="8"/>
        <v>0.34653446605667493</v>
      </c>
      <c r="I40" s="7">
        <f t="shared" si="10"/>
        <v>7790616.6917213118</v>
      </c>
      <c r="J40" s="1">
        <f t="shared" si="12"/>
        <v>2.070147199629246</v>
      </c>
    </row>
    <row r="41" spans="1:10" x14ac:dyDescent="0.25">
      <c r="A41" t="s">
        <v>17</v>
      </c>
      <c r="B41" t="s">
        <v>11</v>
      </c>
      <c r="C41" t="s">
        <v>15</v>
      </c>
      <c r="D41" s="1">
        <f t="shared" si="9"/>
        <v>2.4229580253817304</v>
      </c>
      <c r="E41" s="3"/>
      <c r="F41" s="3">
        <v>243439</v>
      </c>
      <c r="G41" s="7">
        <f t="shared" si="11"/>
        <v>589842.48</v>
      </c>
      <c r="H41" s="2">
        <f t="shared" si="8"/>
        <v>2.5878360710702229E-2</v>
      </c>
      <c r="I41" s="7">
        <f t="shared" si="10"/>
        <v>581784.52262295084</v>
      </c>
      <c r="J41" s="1">
        <f t="shared" si="12"/>
        <v>2.3898575110107698</v>
      </c>
    </row>
    <row r="42" spans="1:10" x14ac:dyDescent="0.25">
      <c r="A42" t="s">
        <v>18</v>
      </c>
      <c r="B42" t="s">
        <v>16</v>
      </c>
      <c r="C42" t="s">
        <v>15</v>
      </c>
      <c r="D42" s="1">
        <f t="shared" si="9"/>
        <v>2.1499577667179279</v>
      </c>
      <c r="E42" s="3"/>
      <c r="F42" s="3">
        <v>258044</v>
      </c>
      <c r="G42" s="7">
        <f t="shared" si="11"/>
        <v>554783.69999999995</v>
      </c>
      <c r="H42" s="2">
        <f t="shared" si="8"/>
        <v>2.4340214874008417E-2</v>
      </c>
      <c r="I42" s="7">
        <f t="shared" si="10"/>
        <v>547204.68770491809</v>
      </c>
      <c r="J42" s="1">
        <f t="shared" si="12"/>
        <v>2.1205867515033021</v>
      </c>
    </row>
    <row r="43" spans="1:10" x14ac:dyDescent="0.25">
      <c r="A43" t="s">
        <v>19</v>
      </c>
      <c r="B43" t="s">
        <v>11</v>
      </c>
      <c r="C43" t="s">
        <v>15</v>
      </c>
      <c r="D43" s="1">
        <f t="shared" si="9"/>
        <v>1.4410620375499723</v>
      </c>
      <c r="E43" s="3"/>
      <c r="F43" s="3">
        <v>59983.5</v>
      </c>
      <c r="G43" s="7">
        <f t="shared" si="11"/>
        <v>86439.94</v>
      </c>
      <c r="H43" s="2">
        <f t="shared" si="8"/>
        <v>3.7924090294945492E-3</v>
      </c>
      <c r="I43" s="7">
        <f t="shared" si="10"/>
        <v>85259.066502732239</v>
      </c>
      <c r="J43" s="1">
        <f t="shared" si="12"/>
        <v>1.4213753199251835</v>
      </c>
    </row>
    <row r="44" spans="1:10" x14ac:dyDescent="0.25">
      <c r="A44" t="s">
        <v>20</v>
      </c>
      <c r="B44" t="s">
        <v>11</v>
      </c>
      <c r="C44" t="s">
        <v>15</v>
      </c>
      <c r="D44" s="1">
        <f t="shared" si="9"/>
        <v>1.4430007808846899</v>
      </c>
      <c r="E44" s="3"/>
      <c r="F44" s="3">
        <v>1939.72</v>
      </c>
      <c r="G44" s="7">
        <f t="shared" si="11"/>
        <v>2799.02</v>
      </c>
      <c r="H44" s="2">
        <f t="shared" si="8"/>
        <v>1.2280236105827739E-4</v>
      </c>
      <c r="I44" s="7">
        <f t="shared" si="10"/>
        <v>2760.7820218579236</v>
      </c>
      <c r="J44" s="1">
        <f t="shared" si="12"/>
        <v>1.423288939567527</v>
      </c>
    </row>
    <row r="45" spans="1:10" x14ac:dyDescent="0.25">
      <c r="A45" t="s">
        <v>21</v>
      </c>
      <c r="B45" t="s">
        <v>11</v>
      </c>
      <c r="C45" t="s">
        <v>12</v>
      </c>
      <c r="D45" s="1">
        <f t="shared" si="9"/>
        <v>4.6685124320667458E-3</v>
      </c>
      <c r="E45" s="3">
        <v>5787621.6885000002</v>
      </c>
      <c r="F45" s="3">
        <v>0</v>
      </c>
      <c r="G45" s="7">
        <f>IF(ISERROR(D45*E45), 0, ROUND(D45*E45, 2))</f>
        <v>27019.58</v>
      </c>
      <c r="H45" s="2">
        <f t="shared" si="8"/>
        <v>1.1854392676018787E-3</v>
      </c>
      <c r="I45" s="7">
        <f t="shared" si="10"/>
        <v>26650.460054644813</v>
      </c>
      <c r="J45" s="1">
        <f>IF(ISERROR(I45/E45), 0, I45/E45)</f>
        <v>4.6047342913928284E-3</v>
      </c>
    </row>
    <row r="46" spans="1:10" x14ac:dyDescent="0.25">
      <c r="D46" s="1"/>
      <c r="E46" s="3"/>
      <c r="F46" s="3"/>
      <c r="G46" s="10">
        <f>SUM(G37:G45)</f>
        <v>22792884.239999998</v>
      </c>
      <c r="H46" s="2">
        <f t="shared" si="8"/>
        <v>1</v>
      </c>
      <c r="I46" s="8">
        <f>SUM(I37:I45)</f>
        <v>22481506.039999999</v>
      </c>
      <c r="J46" s="1"/>
    </row>
    <row r="47" spans="1:10" x14ac:dyDescent="0.25">
      <c r="D47" s="1"/>
      <c r="E47" s="3"/>
      <c r="F47" s="3"/>
      <c r="G47" s="3"/>
      <c r="H47" s="2"/>
      <c r="I47" s="6">
        <v>22481506.039999999</v>
      </c>
      <c r="J47" s="1"/>
    </row>
    <row r="48" spans="1:10" x14ac:dyDescent="0.25">
      <c r="D48" s="1"/>
      <c r="E48" s="3"/>
      <c r="F48" s="3"/>
      <c r="G48" s="3"/>
      <c r="H48" s="2"/>
      <c r="I48" s="3"/>
      <c r="J48" s="1"/>
    </row>
    <row r="49" spans="1:10" x14ac:dyDescent="0.25">
      <c r="D49" s="1"/>
      <c r="E49" s="3"/>
      <c r="F49" s="3"/>
      <c r="G49" s="3"/>
      <c r="H49" s="2"/>
      <c r="I49" s="3"/>
      <c r="J49" s="1"/>
    </row>
    <row r="50" spans="1:10" x14ac:dyDescent="0.25">
      <c r="D50" s="1"/>
      <c r="E50" s="3"/>
      <c r="F50" s="3"/>
      <c r="G50" s="3"/>
      <c r="H50" s="2"/>
      <c r="I50" s="3"/>
      <c r="J50" s="1"/>
    </row>
    <row r="52" spans="1:10" x14ac:dyDescent="0.25">
      <c r="A52" t="s">
        <v>30</v>
      </c>
    </row>
    <row r="53" spans="1:10" s="14" customFormat="1" ht="45" x14ac:dyDescent="0.25">
      <c r="A53" s="14" t="s">
        <v>0</v>
      </c>
      <c r="B53" s="14" t="s">
        <v>1</v>
      </c>
      <c r="C53" s="14" t="s">
        <v>2</v>
      </c>
      <c r="D53" s="15" t="s">
        <v>24</v>
      </c>
      <c r="E53" s="16" t="s">
        <v>4</v>
      </c>
      <c r="F53" s="16" t="s">
        <v>5</v>
      </c>
      <c r="G53" s="16" t="s">
        <v>6</v>
      </c>
      <c r="H53" s="17" t="s">
        <v>7</v>
      </c>
      <c r="I53" s="16" t="s">
        <v>8</v>
      </c>
      <c r="J53" s="15" t="s">
        <v>31</v>
      </c>
    </row>
    <row r="55" spans="1:10" x14ac:dyDescent="0.25">
      <c r="A55" t="s">
        <v>10</v>
      </c>
      <c r="B55" t="s">
        <v>25</v>
      </c>
      <c r="C55" t="s">
        <v>12</v>
      </c>
      <c r="D55" s="1">
        <f>J20</f>
        <v>4.1466055381482493E-3</v>
      </c>
      <c r="E55" s="3">
        <v>1125362765.1448002</v>
      </c>
      <c r="F55" s="3">
        <v>0</v>
      </c>
      <c r="G55" s="7">
        <f>IF(ISERROR(D55*E55), 0, ROUND(D55*E55, 2))</f>
        <v>4666435.47</v>
      </c>
      <c r="H55" s="2">
        <f t="shared" ref="H55:H64" si="13">G55/19287510.3</f>
        <v>0.24194078952740725</v>
      </c>
      <c r="I55" s="7">
        <f>H55*$I$65</f>
        <v>5312308.8942075614</v>
      </c>
      <c r="J55" s="1">
        <f>IF(ISERROR(I55/E55), 0, I55/E55)</f>
        <v>4.7205301781279635E-3</v>
      </c>
    </row>
    <row r="56" spans="1:10" x14ac:dyDescent="0.25">
      <c r="A56" t="s">
        <v>13</v>
      </c>
      <c r="B56" t="s">
        <v>25</v>
      </c>
      <c r="C56" t="s">
        <v>12</v>
      </c>
      <c r="D56" s="1">
        <f t="shared" ref="D56:D63" si="14">J21</f>
        <v>3.6784403934211041E-3</v>
      </c>
      <c r="E56" s="3">
        <v>406328469.68500006</v>
      </c>
      <c r="F56" s="3">
        <v>0</v>
      </c>
      <c r="G56" s="7">
        <f>IF(ISERROR(D56*E56), 0, ROUND(D56*E56, 2))</f>
        <v>1494655.06</v>
      </c>
      <c r="H56" s="2">
        <f t="shared" si="13"/>
        <v>7.7493416037216586E-2</v>
      </c>
      <c r="I56" s="7">
        <f t="shared" ref="I56:I63" si="15">H56*$I$65</f>
        <v>1701527.7335465518</v>
      </c>
      <c r="J56" s="1">
        <f>IF(ISERROR(I56/E56), 0, I56/E56)</f>
        <v>4.1875671051689661E-3</v>
      </c>
    </row>
    <row r="57" spans="1:10" x14ac:dyDescent="0.25">
      <c r="A57" t="s">
        <v>14</v>
      </c>
      <c r="B57" t="s">
        <v>25</v>
      </c>
      <c r="C57" t="s">
        <v>15</v>
      </c>
      <c r="D57" s="1">
        <f t="shared" si="14"/>
        <v>1.3399555155312544</v>
      </c>
      <c r="E57" s="3"/>
      <c r="F57" s="4">
        <v>3763315.33</v>
      </c>
      <c r="G57" s="7">
        <f t="shared" ref="G57:G62" si="16">IF(ISERROR(D57*F57), 0, ROUND(D57*F57, 2))</f>
        <v>5042675.13</v>
      </c>
      <c r="H57" s="2">
        <f t="shared" si="13"/>
        <v>0.26144769602533924</v>
      </c>
      <c r="I57" s="7">
        <f t="shared" si="15"/>
        <v>5740623.2478552358</v>
      </c>
      <c r="J57" s="1">
        <f t="shared" ref="J57:J62" si="17">IF(ISERROR(I57/F57), 0, I57/F57)</f>
        <v>1.5254164863870803</v>
      </c>
    </row>
    <row r="58" spans="1:10" x14ac:dyDescent="0.25">
      <c r="A58" t="s">
        <v>14</v>
      </c>
      <c r="B58" t="s">
        <v>26</v>
      </c>
      <c r="C58" t="s">
        <v>15</v>
      </c>
      <c r="D58" s="1">
        <f t="shared" si="14"/>
        <v>1.8671763467337286</v>
      </c>
      <c r="E58" s="3"/>
      <c r="F58" s="4">
        <v>3763315.33</v>
      </c>
      <c r="G58" s="7">
        <f t="shared" si="16"/>
        <v>7026773.3700000001</v>
      </c>
      <c r="H58" s="2">
        <f t="shared" si="13"/>
        <v>0.36431728412349829</v>
      </c>
      <c r="I58" s="7">
        <f t="shared" si="15"/>
        <v>7999337.1623827135</v>
      </c>
      <c r="J58" s="1">
        <f t="shared" si="17"/>
        <v>2.1256090603448619</v>
      </c>
    </row>
    <row r="59" spans="1:10" x14ac:dyDescent="0.25">
      <c r="A59" t="s">
        <v>17</v>
      </c>
      <c r="B59" t="s">
        <v>25</v>
      </c>
      <c r="C59" t="s">
        <v>15</v>
      </c>
      <c r="D59" s="1">
        <f t="shared" si="14"/>
        <v>1.9750549687445507</v>
      </c>
      <c r="E59" s="3"/>
      <c r="F59" s="3">
        <v>243439</v>
      </c>
      <c r="G59" s="7">
        <f t="shared" si="16"/>
        <v>480805.41</v>
      </c>
      <c r="H59" s="2">
        <f t="shared" si="13"/>
        <v>2.4928329396666605E-2</v>
      </c>
      <c r="I59" s="7">
        <f t="shared" si="15"/>
        <v>547352.87187548168</v>
      </c>
      <c r="J59" s="1">
        <f t="shared" si="17"/>
        <v>2.2484189956230582</v>
      </c>
    </row>
    <row r="60" spans="1:10" x14ac:dyDescent="0.25">
      <c r="A60" t="s">
        <v>18</v>
      </c>
      <c r="B60" t="s">
        <v>26</v>
      </c>
      <c r="C60" t="s">
        <v>15</v>
      </c>
      <c r="D60" s="1">
        <f t="shared" si="14"/>
        <v>1.8671763485040096</v>
      </c>
      <c r="E60" s="3"/>
      <c r="F60" s="3">
        <v>258044</v>
      </c>
      <c r="G60" s="7">
        <f t="shared" si="16"/>
        <v>481813.65</v>
      </c>
      <c r="H60" s="2">
        <f t="shared" si="13"/>
        <v>2.4980603639651718E-2</v>
      </c>
      <c r="I60" s="7">
        <f t="shared" si="15"/>
        <v>548500.66066500416</v>
      </c>
      <c r="J60" s="1">
        <f t="shared" si="17"/>
        <v>2.1256090459960477</v>
      </c>
    </row>
    <row r="61" spans="1:10" x14ac:dyDescent="0.25">
      <c r="A61" t="s">
        <v>19</v>
      </c>
      <c r="B61" t="s">
        <v>25</v>
      </c>
      <c r="C61" t="s">
        <v>15</v>
      </c>
      <c r="D61" s="1">
        <f t="shared" si="14"/>
        <v>1.1798430115290957</v>
      </c>
      <c r="E61" s="3"/>
      <c r="F61" s="3">
        <v>59983.5</v>
      </c>
      <c r="G61" s="7">
        <f t="shared" si="16"/>
        <v>70771.11</v>
      </c>
      <c r="H61" s="2">
        <f t="shared" si="13"/>
        <v>3.6692714040961524E-3</v>
      </c>
      <c r="I61" s="7">
        <f t="shared" si="15"/>
        <v>80566.419384331864</v>
      </c>
      <c r="J61" s="1">
        <f t="shared" si="17"/>
        <v>1.3431430207362336</v>
      </c>
    </row>
    <row r="62" spans="1:10" x14ac:dyDescent="0.25">
      <c r="A62" t="s">
        <v>20</v>
      </c>
      <c r="B62" t="s">
        <v>25</v>
      </c>
      <c r="C62" t="s">
        <v>15</v>
      </c>
      <c r="D62" s="1">
        <f t="shared" si="14"/>
        <v>1.1814497683165044</v>
      </c>
      <c r="E62" s="3"/>
      <c r="F62" s="3">
        <v>1939.72</v>
      </c>
      <c r="G62" s="7">
        <f t="shared" si="16"/>
        <v>2291.6799999999998</v>
      </c>
      <c r="H62" s="2">
        <f t="shared" si="13"/>
        <v>1.1881678684054934E-4</v>
      </c>
      <c r="I62" s="7">
        <f t="shared" si="15"/>
        <v>2608.8675446052157</v>
      </c>
      <c r="J62" s="1">
        <f t="shared" si="17"/>
        <v>1.344971204403324</v>
      </c>
    </row>
    <row r="63" spans="1:10" x14ac:dyDescent="0.25">
      <c r="A63" t="s">
        <v>21</v>
      </c>
      <c r="B63" t="s">
        <v>25</v>
      </c>
      <c r="C63" t="s">
        <v>12</v>
      </c>
      <c r="D63" s="1">
        <f t="shared" si="14"/>
        <v>3.6784404812212454E-3</v>
      </c>
      <c r="E63" s="3">
        <v>5787621.6885000002</v>
      </c>
      <c r="F63" s="3">
        <v>0</v>
      </c>
      <c r="G63" s="7">
        <f>IF(ISERROR(D63*E63), 0, ROUND(D63*E63, 2))</f>
        <v>21289.42</v>
      </c>
      <c r="H63" s="2">
        <f t="shared" si="13"/>
        <v>1.1037930592835508E-3</v>
      </c>
      <c r="I63" s="7">
        <f t="shared" si="15"/>
        <v>24236.05253851723</v>
      </c>
      <c r="J63" s="1">
        <f>IF(ISERROR(I63/E63), 0, I63/E63)</f>
        <v>4.1875668181066928E-3</v>
      </c>
    </row>
    <row r="64" spans="1:10" x14ac:dyDescent="0.25">
      <c r="G64" s="10">
        <f>SUM(G55:G63)</f>
        <v>19287510.300000001</v>
      </c>
      <c r="H64" s="2">
        <f t="shared" si="13"/>
        <v>1</v>
      </c>
      <c r="I64" s="8">
        <f>SUM(I55:I63)</f>
        <v>21957061.910000008</v>
      </c>
    </row>
    <row r="65" spans="9:9" x14ac:dyDescent="0.25">
      <c r="I65" s="9">
        <v>21957061.910000004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9"/>
  <sheetViews>
    <sheetView workbookViewId="0">
      <selection activeCell="F6" sqref="F6"/>
    </sheetView>
  </sheetViews>
  <sheetFormatPr defaultColWidth="48.28515625" defaultRowHeight="15" x14ac:dyDescent="0.25"/>
  <cols>
    <col min="2" max="2" width="0" hidden="1" customWidth="1"/>
    <col min="3" max="3" width="6.85546875" bestFit="1" customWidth="1"/>
    <col min="4" max="4" width="13.28515625" customWidth="1"/>
    <col min="5" max="5" width="15" customWidth="1"/>
    <col min="6" max="6" width="10.85546875" bestFit="1" customWidth="1"/>
    <col min="7" max="7" width="15.28515625" bestFit="1" customWidth="1"/>
    <col min="8" max="8" width="10.28515625" customWidth="1"/>
    <col min="9" max="9" width="16.5703125" customWidth="1"/>
    <col min="10" max="10" width="9.85546875" customWidth="1"/>
  </cols>
  <sheetData>
    <row r="1" spans="1:10" x14ac:dyDescent="0.25">
      <c r="A1" t="s">
        <v>32</v>
      </c>
    </row>
    <row r="2" spans="1:10" s="14" customFormat="1" ht="30" x14ac:dyDescent="0.25">
      <c r="A2" s="14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6" t="s">
        <v>8</v>
      </c>
      <c r="J2" s="15" t="s">
        <v>9</v>
      </c>
    </row>
    <row r="3" spans="1:10" x14ac:dyDescent="0.25">
      <c r="G3" s="3"/>
      <c r="H3" s="2"/>
      <c r="I3" s="3"/>
      <c r="J3" s="1"/>
    </row>
    <row r="4" spans="1:10" x14ac:dyDescent="0.25">
      <c r="A4" t="s">
        <v>10</v>
      </c>
      <c r="B4" t="s">
        <v>11</v>
      </c>
      <c r="C4" t="s">
        <v>12</v>
      </c>
      <c r="D4" s="1">
        <v>6.8999999999999999E-3</v>
      </c>
      <c r="E4" s="3">
        <v>1125362765.1448002</v>
      </c>
      <c r="F4" s="3">
        <v>0</v>
      </c>
      <c r="G4" s="7">
        <f>IF(ISERROR(D4*E4), 0, ROUND(D4*E4, 2))</f>
        <v>7765003.0800000001</v>
      </c>
      <c r="H4" s="2">
        <f>G4/$G$13</f>
        <v>0.34448422088323033</v>
      </c>
      <c r="I4" s="7">
        <f>H4*$I$14</f>
        <v>7851788.9690980604</v>
      </c>
      <c r="J4" s="1">
        <f>IF(ISERROR(I4/E4), 0, I4/E4)</f>
        <v>6.9771181456210456E-3</v>
      </c>
    </row>
    <row r="5" spans="1:10" x14ac:dyDescent="0.25">
      <c r="A5" t="s">
        <v>13</v>
      </c>
      <c r="B5" t="s">
        <v>11</v>
      </c>
      <c r="C5" t="s">
        <v>12</v>
      </c>
      <c r="D5" s="1">
        <v>6.4999999999999997E-3</v>
      </c>
      <c r="E5" s="3">
        <v>406328469.68500006</v>
      </c>
      <c r="F5" s="3">
        <v>0</v>
      </c>
      <c r="G5" s="7">
        <f>IF(ISERROR(D5*E5), 0, ROUND(D5*E5, 2))</f>
        <v>2641135.0499999998</v>
      </c>
      <c r="H5" s="2">
        <f t="shared" ref="H5:H12" si="0">G5/$G$13</f>
        <v>0.11717050728415701</v>
      </c>
      <c r="I5" s="7">
        <f t="shared" ref="I5:I12" si="1">H5*$I$14</f>
        <v>2670653.8088698676</v>
      </c>
      <c r="J5" s="1">
        <f>IF(ISERROR(I5/E5), 0, I5/E5)</f>
        <v>6.5726475207121254E-3</v>
      </c>
    </row>
    <row r="6" spans="1:10" x14ac:dyDescent="0.25">
      <c r="A6" t="s">
        <v>14</v>
      </c>
      <c r="B6" t="s">
        <v>11</v>
      </c>
      <c r="C6" t="s">
        <v>15</v>
      </c>
      <c r="D6" s="1">
        <v>2.2787999999999999</v>
      </c>
      <c r="E6" s="3"/>
      <c r="F6" s="5">
        <v>960337</v>
      </c>
      <c r="G6" s="7">
        <f t="shared" ref="G6:G11" si="2">IF(ISERROR(D6*F6), 0, ROUND(D6*F6, 2))</f>
        <v>2188415.96</v>
      </c>
      <c r="H6" s="2">
        <f t="shared" si="0"/>
        <v>9.7086216088020733E-2</v>
      </c>
      <c r="I6" s="7">
        <f t="shared" si="1"/>
        <v>2212874.8845938826</v>
      </c>
      <c r="J6" s="1">
        <f t="shared" ref="J6:J11" si="3">IF(ISERROR(I6/F6), 0, I6/F6)</f>
        <v>2.3042691103163606</v>
      </c>
    </row>
    <row r="7" spans="1:10" x14ac:dyDescent="0.25">
      <c r="A7" t="s">
        <v>14</v>
      </c>
      <c r="B7" t="s">
        <v>16</v>
      </c>
      <c r="C7" t="s">
        <v>15</v>
      </c>
      <c r="D7" s="1">
        <v>2.9222000000000001</v>
      </c>
      <c r="E7" s="3"/>
      <c r="F7" s="5">
        <v>2802978</v>
      </c>
      <c r="G7" s="7">
        <f t="shared" si="2"/>
        <v>8190862.3099999996</v>
      </c>
      <c r="H7" s="2">
        <f t="shared" si="0"/>
        <v>0.36337690946829171</v>
      </c>
      <c r="I7" s="7">
        <f t="shared" si="1"/>
        <v>8282407.8329997333</v>
      </c>
      <c r="J7" s="1">
        <f t="shared" si="3"/>
        <v>2.9548600927298514</v>
      </c>
    </row>
    <row r="8" spans="1:10" x14ac:dyDescent="0.25">
      <c r="A8" t="s">
        <v>17</v>
      </c>
      <c r="B8" t="s">
        <v>11</v>
      </c>
      <c r="C8" t="s">
        <v>15</v>
      </c>
      <c r="D8" s="1">
        <v>3.3734999999999999</v>
      </c>
      <c r="E8" s="3"/>
      <c r="F8" s="3">
        <v>243439</v>
      </c>
      <c r="G8" s="7">
        <f t="shared" si="2"/>
        <v>821241.47</v>
      </c>
      <c r="H8" s="2">
        <f t="shared" si="0"/>
        <v>3.6433305310414478E-2</v>
      </c>
      <c r="I8" s="7">
        <f t="shared" si="1"/>
        <v>830420.11042085453</v>
      </c>
      <c r="J8" s="1">
        <f t="shared" si="3"/>
        <v>3.4112040816009537</v>
      </c>
    </row>
    <row r="9" spans="1:10" x14ac:dyDescent="0.25">
      <c r="A9" t="s">
        <v>18</v>
      </c>
      <c r="B9" t="s">
        <v>16</v>
      </c>
      <c r="C9" t="s">
        <v>15</v>
      </c>
      <c r="D9" s="1">
        <v>2.9933999999999998</v>
      </c>
      <c r="E9" s="3"/>
      <c r="F9" s="3">
        <v>258044</v>
      </c>
      <c r="G9" s="7">
        <f t="shared" si="2"/>
        <v>772428.91</v>
      </c>
      <c r="H9" s="2">
        <f t="shared" si="0"/>
        <v>3.4267799833124196E-2</v>
      </c>
      <c r="I9" s="7">
        <f t="shared" si="1"/>
        <v>781061.99475589115</v>
      </c>
      <c r="J9" s="1">
        <f t="shared" si="3"/>
        <v>3.0268558647203236</v>
      </c>
    </row>
    <row r="10" spans="1:10" x14ac:dyDescent="0.25">
      <c r="A10" t="s">
        <v>19</v>
      </c>
      <c r="B10" t="s">
        <v>11</v>
      </c>
      <c r="C10" t="s">
        <v>15</v>
      </c>
      <c r="D10" s="1">
        <v>2.0064000000000002</v>
      </c>
      <c r="E10" s="3"/>
      <c r="F10" s="3">
        <v>59983.5</v>
      </c>
      <c r="G10" s="7">
        <f t="shared" si="2"/>
        <v>120350.89</v>
      </c>
      <c r="H10" s="2">
        <f t="shared" si="0"/>
        <v>5.3392100617496935E-3</v>
      </c>
      <c r="I10" s="7">
        <f t="shared" si="1"/>
        <v>121695.99687050402</v>
      </c>
      <c r="J10" s="1">
        <f t="shared" si="3"/>
        <v>2.0288245412572463</v>
      </c>
    </row>
    <row r="11" spans="1:10" x14ac:dyDescent="0.25">
      <c r="A11" t="s">
        <v>20</v>
      </c>
      <c r="B11" t="s">
        <v>11</v>
      </c>
      <c r="C11" t="s">
        <v>15</v>
      </c>
      <c r="D11" s="1">
        <v>2.0091000000000001</v>
      </c>
      <c r="E11" s="3"/>
      <c r="F11" s="3">
        <v>1939.72</v>
      </c>
      <c r="G11" s="7">
        <f t="shared" si="2"/>
        <v>3897.09</v>
      </c>
      <c r="H11" s="2">
        <f t="shared" si="0"/>
        <v>1.7288930841761213E-4</v>
      </c>
      <c r="I11" s="7">
        <f t="shared" si="1"/>
        <v>3940.6459930962915</v>
      </c>
      <c r="J11" s="1">
        <f t="shared" si="3"/>
        <v>2.0315540351681127</v>
      </c>
    </row>
    <row r="12" spans="1:10" x14ac:dyDescent="0.25">
      <c r="A12" t="s">
        <v>21</v>
      </c>
      <c r="B12" t="s">
        <v>11</v>
      </c>
      <c r="C12" t="s">
        <v>12</v>
      </c>
      <c r="D12" s="1">
        <v>6.4999999999999997E-3</v>
      </c>
      <c r="E12" s="3">
        <v>5787621.6885000002</v>
      </c>
      <c r="F12" s="3">
        <v>0</v>
      </c>
      <c r="G12" s="7">
        <f>IF(ISERROR(D12*E12), 0, ROUND(D12*E12, 2))</f>
        <v>37619.54</v>
      </c>
      <c r="H12" s="2">
        <f t="shared" si="0"/>
        <v>1.6689417625943195E-3</v>
      </c>
      <c r="I12" s="7">
        <f t="shared" si="1"/>
        <v>38039.996398113886</v>
      </c>
      <c r="J12" s="1">
        <f>IF(ISERROR(I12/E12), 0, I12/E12)</f>
        <v>6.572647357670134E-3</v>
      </c>
    </row>
    <row r="13" spans="1:10" x14ac:dyDescent="0.25">
      <c r="D13" s="1"/>
      <c r="E13" s="3"/>
      <c r="F13" s="3"/>
      <c r="G13" s="10">
        <f>SUM(G4:G12)</f>
        <v>22540954.299999997</v>
      </c>
      <c r="H13" s="2">
        <f>SUM(H4:H12)</f>
        <v>1</v>
      </c>
      <c r="I13" s="8">
        <f>SUM(I4:I12)</f>
        <v>22792884.239999998</v>
      </c>
      <c r="J13" s="1"/>
    </row>
    <row r="14" spans="1:10" x14ac:dyDescent="0.25">
      <c r="D14" s="1"/>
      <c r="E14" s="3"/>
      <c r="F14" s="3"/>
      <c r="G14" s="3"/>
      <c r="H14" s="2"/>
      <c r="I14" s="9">
        <f>[1]!total_current_wholesale_network</f>
        <v>22792884.240000002</v>
      </c>
      <c r="J14" s="1"/>
    </row>
    <row r="16" spans="1:10" x14ac:dyDescent="0.25">
      <c r="A16" t="s">
        <v>22</v>
      </c>
    </row>
    <row r="17" spans="1:10" s="14" customFormat="1" ht="30" x14ac:dyDescent="0.25">
      <c r="A17" s="14" t="s">
        <v>0</v>
      </c>
      <c r="B17" s="14" t="s">
        <v>1</v>
      </c>
      <c r="C17" s="14" t="s">
        <v>2</v>
      </c>
      <c r="D17" s="15" t="s">
        <v>23</v>
      </c>
      <c r="E17" s="16" t="s">
        <v>4</v>
      </c>
      <c r="F17" s="16" t="s">
        <v>5</v>
      </c>
      <c r="G17" s="16" t="s">
        <v>6</v>
      </c>
      <c r="H17" s="17" t="s">
        <v>7</v>
      </c>
      <c r="I17" s="16" t="s">
        <v>8</v>
      </c>
      <c r="J17" s="15" t="s">
        <v>24</v>
      </c>
    </row>
    <row r="19" spans="1:10" x14ac:dyDescent="0.25">
      <c r="A19" t="s">
        <v>10</v>
      </c>
      <c r="B19" t="s">
        <v>25</v>
      </c>
      <c r="C19" t="s">
        <v>12</v>
      </c>
      <c r="D19" s="1">
        <v>6.1999999999999998E-3</v>
      </c>
      <c r="E19" s="3">
        <v>1125362765.1448002</v>
      </c>
      <c r="F19" s="3">
        <v>0</v>
      </c>
      <c r="G19" s="7">
        <f>IF(ISERROR(D19*E19), 0, ROUND(D19*E19, 2))</f>
        <v>6977249.1399999997</v>
      </c>
      <c r="H19" s="2">
        <f>G19/$G$28</f>
        <v>0.33966059034838064</v>
      </c>
      <c r="I19" s="7">
        <f>H19*$I$29</f>
        <v>6551207.1382450787</v>
      </c>
      <c r="J19" s="1">
        <f>IF(ISERROR(I19/E19), 0, I19/E19)</f>
        <v>5.8214180717114242E-3</v>
      </c>
    </row>
    <row r="20" spans="1:10" x14ac:dyDescent="0.25">
      <c r="A20" t="s">
        <v>13</v>
      </c>
      <c r="B20" t="s">
        <v>25</v>
      </c>
      <c r="C20" t="s">
        <v>12</v>
      </c>
      <c r="D20" s="1">
        <v>5.4999999999999997E-3</v>
      </c>
      <c r="E20" s="3">
        <v>406328469.68500006</v>
      </c>
      <c r="F20" s="3">
        <v>0</v>
      </c>
      <c r="G20" s="7">
        <f>IF(ISERROR(D20*E20), 0, ROUND(D20*E20, 2))</f>
        <v>2234806.58</v>
      </c>
      <c r="H20" s="2">
        <f t="shared" ref="H20:H27" si="4">G20/$G$28</f>
        <v>0.10879297944594331</v>
      </c>
      <c r="I20" s="7">
        <f t="shared" ref="I20:I28" si="5">H20*$I$29</f>
        <v>2098345.71271925</v>
      </c>
      <c r="J20" s="1">
        <f>IF(ISERROR(I20/E20), 0, I20/E20)</f>
        <v>5.1641611879816359E-3</v>
      </c>
    </row>
    <row r="21" spans="1:10" x14ac:dyDescent="0.25">
      <c r="A21" t="s">
        <v>14</v>
      </c>
      <c r="B21" t="s">
        <v>25</v>
      </c>
      <c r="C21" t="s">
        <v>15</v>
      </c>
      <c r="D21" s="1">
        <v>2.0034999999999998</v>
      </c>
      <c r="E21" s="3"/>
      <c r="F21" s="5">
        <v>960337</v>
      </c>
      <c r="G21" s="7">
        <f t="shared" ref="G21:G26" si="6">IF(ISERROR(D21*F21), 0, ROUND(D21*F21, 2))</f>
        <v>1924035.18</v>
      </c>
      <c r="H21" s="2">
        <f t="shared" si="4"/>
        <v>9.3664266815883385E-2</v>
      </c>
      <c r="I21" s="7">
        <f t="shared" si="5"/>
        <v>1806550.511889942</v>
      </c>
      <c r="J21" s="1">
        <f t="shared" ref="J21:J26" si="7">IF(ISERROR(I21/F21), 0, I21/F21)</f>
        <v>1.8811630832613364</v>
      </c>
    </row>
    <row r="22" spans="1:10" x14ac:dyDescent="0.25">
      <c r="A22" t="s">
        <v>14</v>
      </c>
      <c r="B22" t="s">
        <v>26</v>
      </c>
      <c r="C22" t="s">
        <v>15</v>
      </c>
      <c r="D22" s="1">
        <v>2.7917999999999998</v>
      </c>
      <c r="E22" s="3"/>
      <c r="F22" s="5">
        <v>2802978</v>
      </c>
      <c r="G22" s="7">
        <f t="shared" si="6"/>
        <v>7825353.9800000004</v>
      </c>
      <c r="H22" s="2">
        <f t="shared" si="4"/>
        <v>0.3809473188070579</v>
      </c>
      <c r="I22" s="7">
        <f t="shared" si="5"/>
        <v>7347525.3390579866</v>
      </c>
      <c r="J22" s="1">
        <f t="shared" si="7"/>
        <v>2.6213282227181187</v>
      </c>
    </row>
    <row r="23" spans="1:10" x14ac:dyDescent="0.25">
      <c r="A23" t="s">
        <v>17</v>
      </c>
      <c r="B23" t="s">
        <v>25</v>
      </c>
      <c r="C23" t="s">
        <v>15</v>
      </c>
      <c r="D23" s="1">
        <v>2.9531000000000001</v>
      </c>
      <c r="E23" s="3"/>
      <c r="F23" s="3">
        <v>243439</v>
      </c>
      <c r="G23" s="7">
        <f t="shared" si="6"/>
        <v>718899.71</v>
      </c>
      <c r="H23" s="2">
        <f t="shared" si="4"/>
        <v>3.4996872692993682E-2</v>
      </c>
      <c r="I23" s="7">
        <f t="shared" si="5"/>
        <v>675002.54288387322</v>
      </c>
      <c r="J23" s="1">
        <f t="shared" si="7"/>
        <v>2.7727789831698013</v>
      </c>
    </row>
    <row r="24" spans="1:10" x14ac:dyDescent="0.25">
      <c r="A24" t="s">
        <v>18</v>
      </c>
      <c r="B24" t="s">
        <v>26</v>
      </c>
      <c r="C24" t="s">
        <v>15</v>
      </c>
      <c r="D24" s="1">
        <v>2.7917999999999998</v>
      </c>
      <c r="E24" s="3"/>
      <c r="F24" s="3">
        <v>258044</v>
      </c>
      <c r="G24" s="7">
        <f t="shared" si="6"/>
        <v>720407.24</v>
      </c>
      <c r="H24" s="2">
        <f t="shared" si="4"/>
        <v>3.5070261003987531E-2</v>
      </c>
      <c r="I24" s="7">
        <f t="shared" si="5"/>
        <v>676418.02068880049</v>
      </c>
      <c r="J24" s="1">
        <f t="shared" si="7"/>
        <v>2.6213282257630501</v>
      </c>
    </row>
    <row r="25" spans="1:10" x14ac:dyDescent="0.25">
      <c r="A25" t="s">
        <v>19</v>
      </c>
      <c r="B25" t="s">
        <v>25</v>
      </c>
      <c r="C25" t="s">
        <v>15</v>
      </c>
      <c r="D25" s="1">
        <v>1.7641</v>
      </c>
      <c r="E25" s="3"/>
      <c r="F25" s="3">
        <v>59983.5</v>
      </c>
      <c r="G25" s="7">
        <f t="shared" si="6"/>
        <v>105816.89</v>
      </c>
      <c r="H25" s="2">
        <f t="shared" si="4"/>
        <v>5.1512890832832812E-3</v>
      </c>
      <c r="I25" s="7">
        <f t="shared" si="5"/>
        <v>99355.541303616745</v>
      </c>
      <c r="J25" s="1">
        <f t="shared" si="7"/>
        <v>1.6563811932217485</v>
      </c>
    </row>
    <row r="26" spans="1:10" x14ac:dyDescent="0.25">
      <c r="A26" t="s">
        <v>20</v>
      </c>
      <c r="B26" t="s">
        <v>25</v>
      </c>
      <c r="C26" t="s">
        <v>15</v>
      </c>
      <c r="D26" s="1">
        <v>1.7665</v>
      </c>
      <c r="E26" s="3"/>
      <c r="F26" s="3">
        <v>1939.72</v>
      </c>
      <c r="G26" s="7">
        <f t="shared" si="6"/>
        <v>3426.52</v>
      </c>
      <c r="H26" s="2">
        <f t="shared" si="4"/>
        <v>1.6680697258870326E-4</v>
      </c>
      <c r="I26" s="7">
        <f t="shared" si="5"/>
        <v>3217.291203584502</v>
      </c>
      <c r="J26" s="1">
        <f t="shared" si="7"/>
        <v>1.6586369185163332</v>
      </c>
    </row>
    <row r="27" spans="1:10" x14ac:dyDescent="0.25">
      <c r="A27" t="s">
        <v>21</v>
      </c>
      <c r="B27" t="s">
        <v>25</v>
      </c>
      <c r="C27" t="s">
        <v>12</v>
      </c>
      <c r="D27" s="1">
        <v>5.4999999999999997E-3</v>
      </c>
      <c r="E27" s="3">
        <v>5787621.6885000002</v>
      </c>
      <c r="F27" s="3">
        <v>0</v>
      </c>
      <c r="G27" s="7">
        <f>IF(ISERROR(D27*E27), 0, ROUND(D27*E27, 2))</f>
        <v>31831.919999999998</v>
      </c>
      <c r="H27" s="2">
        <f t="shared" si="4"/>
        <v>1.5496148298815692E-3</v>
      </c>
      <c r="I27" s="7">
        <f t="shared" si="5"/>
        <v>29888.212007869664</v>
      </c>
      <c r="J27" s="1">
        <f>IF(ISERROR(I27/E27), 0, I27/E27)</f>
        <v>5.1641613112442227E-3</v>
      </c>
    </row>
    <row r="28" spans="1:10" x14ac:dyDescent="0.25">
      <c r="D28" s="1"/>
      <c r="E28" s="3"/>
      <c r="F28" s="3"/>
      <c r="G28" s="10">
        <f>SUM(G19:G27)</f>
        <v>20541827.16</v>
      </c>
      <c r="H28" s="2">
        <f>SUM(H19:H27)</f>
        <v>1</v>
      </c>
      <c r="I28" s="8">
        <f t="shared" si="5"/>
        <v>19287510.310000002</v>
      </c>
      <c r="J28" s="1"/>
    </row>
    <row r="29" spans="1:10" x14ac:dyDescent="0.25">
      <c r="D29" s="1"/>
      <c r="E29" s="3"/>
      <c r="F29" s="3"/>
      <c r="G29" s="3"/>
      <c r="H29" s="2"/>
      <c r="I29" s="9">
        <f>'[1]13. RTSR - Current Wholesale'!$P$109</f>
        <v>19287510.310000002</v>
      </c>
      <c r="J29" s="1"/>
    </row>
    <row r="31" spans="1:10" x14ac:dyDescent="0.25">
      <c r="A31" t="s">
        <v>27</v>
      </c>
    </row>
    <row r="32" spans="1:10" s="14" customFormat="1" ht="30" x14ac:dyDescent="0.25">
      <c r="A32" s="14" t="s">
        <v>0</v>
      </c>
      <c r="B32" s="14" t="s">
        <v>1</v>
      </c>
      <c r="C32" s="14" t="s">
        <v>2</v>
      </c>
      <c r="D32" s="15" t="s">
        <v>28</v>
      </c>
      <c r="E32" s="16" t="s">
        <v>4</v>
      </c>
      <c r="F32" s="16" t="s">
        <v>5</v>
      </c>
      <c r="G32" s="16" t="s">
        <v>6</v>
      </c>
      <c r="H32" s="17" t="s">
        <v>7</v>
      </c>
      <c r="I32" s="16" t="s">
        <v>8</v>
      </c>
      <c r="J32" s="15" t="s">
        <v>29</v>
      </c>
    </row>
    <row r="34" spans="1:10" x14ac:dyDescent="0.25">
      <c r="A34" t="s">
        <v>10</v>
      </c>
      <c r="B34" t="s">
        <v>11</v>
      </c>
      <c r="C34" t="s">
        <v>12</v>
      </c>
      <c r="D34" s="1">
        <f t="shared" ref="D34:D42" si="8">J4</f>
        <v>6.9771181456210456E-3</v>
      </c>
      <c r="E34" s="3">
        <v>1125362765.1448002</v>
      </c>
      <c r="F34" s="3">
        <v>0</v>
      </c>
      <c r="G34" s="7">
        <f>IF(ISERROR(D34*E34), 0, ROUND(D34*E34, 2))</f>
        <v>7851788.9699999997</v>
      </c>
      <c r="H34" s="2">
        <f t="shared" ref="H34:H43" si="9">G34/22792884.24</f>
        <v>0.34448422092280151</v>
      </c>
      <c r="I34" s="7">
        <f>H34*$I$44</f>
        <v>7744524.0933606559</v>
      </c>
      <c r="J34" s="1">
        <f>IF(ISERROR(I34/E34), 0, I34/E34)</f>
        <v>6.8818023247500726E-3</v>
      </c>
    </row>
    <row r="35" spans="1:10" x14ac:dyDescent="0.25">
      <c r="A35" t="s">
        <v>13</v>
      </c>
      <c r="B35" t="s">
        <v>11</v>
      </c>
      <c r="C35" t="s">
        <v>12</v>
      </c>
      <c r="D35" s="1">
        <f t="shared" si="8"/>
        <v>6.5726475207121254E-3</v>
      </c>
      <c r="E35" s="3">
        <v>406328469.68500006</v>
      </c>
      <c r="F35" s="3">
        <v>0</v>
      </c>
      <c r="G35" s="7">
        <f>IF(ISERROR(D35*E35), 0, ROUND(D35*E35, 2))</f>
        <v>2670653.81</v>
      </c>
      <c r="H35" s="2">
        <f t="shared" si="9"/>
        <v>0.11717050733373971</v>
      </c>
      <c r="I35" s="7">
        <f t="shared" ref="I35:I42" si="10">H35*$I$44</f>
        <v>2634169.4683333333</v>
      </c>
      <c r="J35" s="1">
        <f>IF(ISERROR(I35/E35), 0, I35/E35)</f>
        <v>6.4828572567790605E-3</v>
      </c>
    </row>
    <row r="36" spans="1:10" x14ac:dyDescent="0.25">
      <c r="A36" t="s">
        <v>14</v>
      </c>
      <c r="B36" t="s">
        <v>11</v>
      </c>
      <c r="C36" t="s">
        <v>15</v>
      </c>
      <c r="D36" s="1">
        <f t="shared" si="8"/>
        <v>2.3042691103163606</v>
      </c>
      <c r="E36" s="3"/>
      <c r="F36" s="5">
        <v>960337</v>
      </c>
      <c r="G36" s="7">
        <f t="shared" ref="G36:G41" si="11">IF(ISERROR(D36*F36), 0, ROUND(D36*F36, 2))</f>
        <v>2212874.88</v>
      </c>
      <c r="H36" s="2">
        <f t="shared" si="9"/>
        <v>9.7086215886471774E-2</v>
      </c>
      <c r="I36" s="7">
        <f t="shared" si="10"/>
        <v>2182644.3488524589</v>
      </c>
      <c r="J36" s="1">
        <f t="shared" ref="J36:J41" si="12">IF(ISERROR(I36/F36), 0, I36/F36)</f>
        <v>2.2727900193915875</v>
      </c>
    </row>
    <row r="37" spans="1:10" x14ac:dyDescent="0.25">
      <c r="A37" t="s">
        <v>14</v>
      </c>
      <c r="B37" t="s">
        <v>16</v>
      </c>
      <c r="C37" t="s">
        <v>15</v>
      </c>
      <c r="D37" s="1">
        <f t="shared" si="8"/>
        <v>2.9548600927298514</v>
      </c>
      <c r="E37" s="3"/>
      <c r="F37" s="5">
        <v>2802978</v>
      </c>
      <c r="G37" s="7">
        <f t="shared" si="11"/>
        <v>8282407.8300000001</v>
      </c>
      <c r="H37" s="2">
        <f t="shared" si="9"/>
        <v>0.36337690933668343</v>
      </c>
      <c r="I37" s="7">
        <f t="shared" si="10"/>
        <v>8169260.1820491804</v>
      </c>
      <c r="J37" s="1">
        <f t="shared" si="12"/>
        <v>2.9144931505167646</v>
      </c>
    </row>
    <row r="38" spans="1:10" x14ac:dyDescent="0.25">
      <c r="A38" t="s">
        <v>17</v>
      </c>
      <c r="B38" t="s">
        <v>11</v>
      </c>
      <c r="C38" t="s">
        <v>15</v>
      </c>
      <c r="D38" s="1">
        <f t="shared" si="8"/>
        <v>3.4112040816009537</v>
      </c>
      <c r="E38" s="3"/>
      <c r="F38" s="3">
        <v>243439</v>
      </c>
      <c r="G38" s="7">
        <f t="shared" si="11"/>
        <v>830420.11</v>
      </c>
      <c r="H38" s="2">
        <f t="shared" si="9"/>
        <v>3.6433305291950185E-2</v>
      </c>
      <c r="I38" s="7">
        <f t="shared" si="10"/>
        <v>819075.57297814207</v>
      </c>
      <c r="J38" s="1">
        <f t="shared" si="12"/>
        <v>3.3646029312400318</v>
      </c>
    </row>
    <row r="39" spans="1:10" x14ac:dyDescent="0.25">
      <c r="A39" t="s">
        <v>18</v>
      </c>
      <c r="B39" t="s">
        <v>16</v>
      </c>
      <c r="C39" t="s">
        <v>15</v>
      </c>
      <c r="D39" s="1">
        <f t="shared" si="8"/>
        <v>3.0268558647203236</v>
      </c>
      <c r="E39" s="3"/>
      <c r="F39" s="3">
        <v>258044</v>
      </c>
      <c r="G39" s="7">
        <f t="shared" si="11"/>
        <v>781061.99</v>
      </c>
      <c r="H39" s="2">
        <f t="shared" si="9"/>
        <v>3.4267799624467361E-2</v>
      </c>
      <c r="I39" s="7">
        <f t="shared" si="10"/>
        <v>770391.74423497263</v>
      </c>
      <c r="J39" s="1">
        <f t="shared" si="12"/>
        <v>2.9855053565863674</v>
      </c>
    </row>
    <row r="40" spans="1:10" x14ac:dyDescent="0.25">
      <c r="A40" t="s">
        <v>19</v>
      </c>
      <c r="B40" t="s">
        <v>11</v>
      </c>
      <c r="C40" t="s">
        <v>15</v>
      </c>
      <c r="D40" s="1">
        <f t="shared" si="8"/>
        <v>2.0288245412572463</v>
      </c>
      <c r="E40" s="3"/>
      <c r="F40" s="3">
        <v>59983.5</v>
      </c>
      <c r="G40" s="7">
        <f t="shared" si="11"/>
        <v>121696</v>
      </c>
      <c r="H40" s="2">
        <f t="shared" si="9"/>
        <v>5.3392101990511406E-3</v>
      </c>
      <c r="I40" s="7">
        <f t="shared" si="10"/>
        <v>120033.48633879781</v>
      </c>
      <c r="J40" s="1">
        <f t="shared" si="12"/>
        <v>2.0011084104595067</v>
      </c>
    </row>
    <row r="41" spans="1:10" x14ac:dyDescent="0.25">
      <c r="A41" t="s">
        <v>20</v>
      </c>
      <c r="B41" t="s">
        <v>11</v>
      </c>
      <c r="C41" t="s">
        <v>15</v>
      </c>
      <c r="D41" s="1">
        <f t="shared" si="8"/>
        <v>2.0315540351681127</v>
      </c>
      <c r="E41" s="3"/>
      <c r="F41" s="3">
        <v>1939.72</v>
      </c>
      <c r="G41" s="7">
        <f t="shared" si="11"/>
        <v>3940.65</v>
      </c>
      <c r="H41" s="2">
        <f t="shared" si="9"/>
        <v>1.7288948421386799E-4</v>
      </c>
      <c r="I41" s="7">
        <f t="shared" si="10"/>
        <v>3886.8159836065579</v>
      </c>
      <c r="J41" s="1">
        <f t="shared" si="12"/>
        <v>2.0038026022346305</v>
      </c>
    </row>
    <row r="42" spans="1:10" x14ac:dyDescent="0.25">
      <c r="A42" t="s">
        <v>21</v>
      </c>
      <c r="B42" t="s">
        <v>11</v>
      </c>
      <c r="C42" t="s">
        <v>12</v>
      </c>
      <c r="D42" s="1">
        <f t="shared" si="8"/>
        <v>6.572647357670134E-3</v>
      </c>
      <c r="E42" s="3">
        <v>5787621.6885000002</v>
      </c>
      <c r="F42" s="3">
        <v>0</v>
      </c>
      <c r="G42" s="7">
        <f>IF(ISERROR(D42*E42), 0, ROUND(D42*E42, 2))</f>
        <v>38040</v>
      </c>
      <c r="H42" s="2">
        <f t="shared" si="9"/>
        <v>1.6689419206211001E-3</v>
      </c>
      <c r="I42" s="7">
        <f t="shared" si="10"/>
        <v>37520.327868852459</v>
      </c>
      <c r="J42" s="1">
        <f>IF(ISERROR(I42/E42), 0, I42/E42)</f>
        <v>6.4828577070621812E-3</v>
      </c>
    </row>
    <row r="43" spans="1:10" x14ac:dyDescent="0.25">
      <c r="D43" s="1"/>
      <c r="E43" s="3"/>
      <c r="F43" s="3"/>
      <c r="G43" s="10">
        <f>SUM(G34:G42)</f>
        <v>22792884.239999998</v>
      </c>
      <c r="H43" s="2">
        <f t="shared" si="9"/>
        <v>1</v>
      </c>
      <c r="I43" s="8">
        <f>SUM(I34:I42)</f>
        <v>22481506.040000003</v>
      </c>
      <c r="J43" s="1"/>
    </row>
    <row r="44" spans="1:10" x14ac:dyDescent="0.25">
      <c r="D44" s="1"/>
      <c r="E44" s="3"/>
      <c r="F44" s="3"/>
      <c r="G44" s="3"/>
      <c r="H44" s="2"/>
      <c r="I44" s="6">
        <f>[1]!forecast_wholesale_network</f>
        <v>22481506.039999999</v>
      </c>
      <c r="J44" s="1"/>
    </row>
    <row r="45" spans="1:10" x14ac:dyDescent="0.25">
      <c r="D45" s="1"/>
      <c r="E45" s="3"/>
      <c r="F45" s="3"/>
      <c r="G45" s="3"/>
      <c r="H45" s="2"/>
      <c r="I45" s="3"/>
      <c r="J45" s="1"/>
    </row>
    <row r="46" spans="1:10" x14ac:dyDescent="0.25">
      <c r="A46" t="s">
        <v>30</v>
      </c>
    </row>
    <row r="47" spans="1:10" s="14" customFormat="1" ht="30" x14ac:dyDescent="0.25">
      <c r="A47" s="14" t="s">
        <v>0</v>
      </c>
      <c r="B47" s="14" t="s">
        <v>1</v>
      </c>
      <c r="C47" s="14" t="s">
        <v>2</v>
      </c>
      <c r="D47" s="15" t="s">
        <v>24</v>
      </c>
      <c r="E47" s="16" t="s">
        <v>4</v>
      </c>
      <c r="F47" s="16" t="s">
        <v>5</v>
      </c>
      <c r="G47" s="16" t="s">
        <v>6</v>
      </c>
      <c r="H47" s="17" t="s">
        <v>7</v>
      </c>
      <c r="I47" s="16" t="s">
        <v>8</v>
      </c>
      <c r="J47" s="15" t="s">
        <v>31</v>
      </c>
    </row>
    <row r="49" spans="1:10" x14ac:dyDescent="0.25">
      <c r="A49" t="s">
        <v>10</v>
      </c>
      <c r="B49" t="s">
        <v>25</v>
      </c>
      <c r="C49" t="s">
        <v>12</v>
      </c>
      <c r="D49" s="1">
        <f t="shared" ref="D49:D57" si="13">J19</f>
        <v>5.8214180717114242E-3</v>
      </c>
      <c r="E49" s="3">
        <v>1125362765.1448002</v>
      </c>
      <c r="F49" s="3">
        <v>0</v>
      </c>
      <c r="G49" s="7">
        <f>IF(ISERROR(D49*E49), 0, ROUND(D49*E49, 2))</f>
        <v>6551207.1399999997</v>
      </c>
      <c r="H49" s="2">
        <f t="shared" ref="H49:H58" si="14">G49/19287510.3</f>
        <v>0.33966059061547199</v>
      </c>
      <c r="I49" s="7">
        <f>H49*$I$59</f>
        <v>7457948.6165310852</v>
      </c>
      <c r="J49" s="1">
        <f>IF(ISERROR(I49/E49), 0, I49/E49)</f>
        <v>6.6271506820038363E-3</v>
      </c>
    </row>
    <row r="50" spans="1:10" x14ac:dyDescent="0.25">
      <c r="A50" t="s">
        <v>13</v>
      </c>
      <c r="B50" t="s">
        <v>25</v>
      </c>
      <c r="C50" t="s">
        <v>12</v>
      </c>
      <c r="D50" s="1">
        <f t="shared" si="13"/>
        <v>5.1641611879816359E-3</v>
      </c>
      <c r="E50" s="3">
        <v>406328469.68500006</v>
      </c>
      <c r="F50" s="3">
        <v>0</v>
      </c>
      <c r="G50" s="7">
        <f>IF(ISERROR(D50*E50), 0, ROUND(D50*E50, 2))</f>
        <v>2098345.71</v>
      </c>
      <c r="H50" s="2">
        <f t="shared" si="14"/>
        <v>0.10879297936136423</v>
      </c>
      <c r="I50" s="7">
        <f t="shared" ref="I50:I57" si="15">H50*$I$59</f>
        <v>2388774.1832108269</v>
      </c>
      <c r="J50" s="1">
        <f>IF(ISERROR(I50/E50), 0, I50/E50)</f>
        <v>5.8789239775954849E-3</v>
      </c>
    </row>
    <row r="51" spans="1:10" x14ac:dyDescent="0.25">
      <c r="A51" t="s">
        <v>14</v>
      </c>
      <c r="B51" t="s">
        <v>25</v>
      </c>
      <c r="C51" t="s">
        <v>15</v>
      </c>
      <c r="D51" s="1">
        <f t="shared" si="13"/>
        <v>1.8811630832613364</v>
      </c>
      <c r="E51" s="3"/>
      <c r="F51" s="5">
        <v>960337</v>
      </c>
      <c r="G51" s="7">
        <f t="shared" ref="G51:G56" si="16">IF(ISERROR(D51*F51), 0, ROUND(D51*F51, 2))</f>
        <v>1806550.51</v>
      </c>
      <c r="H51" s="2">
        <f t="shared" si="14"/>
        <v>9.3664266766457671E-2</v>
      </c>
      <c r="I51" s="7">
        <f t="shared" si="15"/>
        <v>2056592.1041458671</v>
      </c>
      <c r="J51" s="1">
        <f t="shared" ref="J51:J56" si="17">IF(ISERROR(I51/F51), 0, I51/F51)</f>
        <v>2.1415316749702105</v>
      </c>
    </row>
    <row r="52" spans="1:10" x14ac:dyDescent="0.25">
      <c r="A52" t="s">
        <v>14</v>
      </c>
      <c r="B52" t="s">
        <v>26</v>
      </c>
      <c r="C52" t="s">
        <v>15</v>
      </c>
      <c r="D52" s="1">
        <f t="shared" si="13"/>
        <v>2.6213282227181187</v>
      </c>
      <c r="E52" s="3"/>
      <c r="F52" s="5">
        <v>2802978</v>
      </c>
      <c r="G52" s="7">
        <f t="shared" si="16"/>
        <v>7347525.3399999999</v>
      </c>
      <c r="H52" s="2">
        <f t="shared" si="14"/>
        <v>0.38094731905340834</v>
      </c>
      <c r="I52" s="7">
        <f t="shared" si="15"/>
        <v>8364483.8689042106</v>
      </c>
      <c r="J52" s="1">
        <f t="shared" si="17"/>
        <v>2.9841418194877773</v>
      </c>
    </row>
    <row r="53" spans="1:10" x14ac:dyDescent="0.25">
      <c r="A53" t="s">
        <v>17</v>
      </c>
      <c r="B53" t="s">
        <v>25</v>
      </c>
      <c r="C53" t="s">
        <v>15</v>
      </c>
      <c r="D53" s="1">
        <f t="shared" si="13"/>
        <v>2.7727789831698013</v>
      </c>
      <c r="E53" s="3"/>
      <c r="F53" s="3">
        <v>243439</v>
      </c>
      <c r="G53" s="7">
        <f t="shared" si="16"/>
        <v>675002.54</v>
      </c>
      <c r="H53" s="2">
        <f t="shared" si="14"/>
        <v>3.4996872561618285E-2</v>
      </c>
      <c r="I53" s="7">
        <f t="shared" si="15"/>
        <v>768428.49749183306</v>
      </c>
      <c r="J53" s="1">
        <f t="shared" si="17"/>
        <v>3.156554609129322</v>
      </c>
    </row>
    <row r="54" spans="1:10" x14ac:dyDescent="0.25">
      <c r="A54" t="s">
        <v>18</v>
      </c>
      <c r="B54" t="s">
        <v>26</v>
      </c>
      <c r="C54" t="s">
        <v>15</v>
      </c>
      <c r="D54" s="1">
        <f t="shared" si="13"/>
        <v>2.6213282257630501</v>
      </c>
      <c r="E54" s="3"/>
      <c r="F54" s="3">
        <v>258044</v>
      </c>
      <c r="G54" s="7">
        <f t="shared" si="16"/>
        <v>676418.02</v>
      </c>
      <c r="H54" s="2">
        <f t="shared" si="14"/>
        <v>3.5070260986458164E-2</v>
      </c>
      <c r="I54" s="7">
        <f t="shared" si="15"/>
        <v>770039.89167951967</v>
      </c>
      <c r="J54" s="1">
        <f t="shared" si="17"/>
        <v>2.9841418195327916</v>
      </c>
    </row>
    <row r="55" spans="1:10" x14ac:dyDescent="0.25">
      <c r="A55" t="s">
        <v>19</v>
      </c>
      <c r="B55" t="s">
        <v>25</v>
      </c>
      <c r="C55" t="s">
        <v>15</v>
      </c>
      <c r="D55" s="1">
        <f t="shared" si="13"/>
        <v>1.6563811932217485</v>
      </c>
      <c r="E55" s="3"/>
      <c r="F55" s="3">
        <v>59983.5</v>
      </c>
      <c r="G55" s="7">
        <f t="shared" si="16"/>
        <v>99355.54</v>
      </c>
      <c r="H55" s="2">
        <f t="shared" si="14"/>
        <v>5.1512890183654236E-3</v>
      </c>
      <c r="I55" s="7">
        <f t="shared" si="15"/>
        <v>113107.17189255275</v>
      </c>
      <c r="J55" s="1">
        <f t="shared" si="17"/>
        <v>1.8856380820151</v>
      </c>
    </row>
    <row r="56" spans="1:10" x14ac:dyDescent="0.25">
      <c r="A56" t="s">
        <v>20</v>
      </c>
      <c r="B56" t="s">
        <v>25</v>
      </c>
      <c r="C56" t="s">
        <v>15</v>
      </c>
      <c r="D56" s="1">
        <f t="shared" si="13"/>
        <v>1.6586369185163332</v>
      </c>
      <c r="E56" s="3"/>
      <c r="F56" s="3">
        <v>1939.72</v>
      </c>
      <c r="G56" s="7">
        <f t="shared" si="16"/>
        <v>3217.29</v>
      </c>
      <c r="H56" s="2">
        <f t="shared" si="14"/>
        <v>1.6680691027291374E-4</v>
      </c>
      <c r="I56" s="7">
        <f t="shared" si="15"/>
        <v>3662.5896558781828</v>
      </c>
      <c r="J56" s="1">
        <f t="shared" si="17"/>
        <v>1.8882053367899403</v>
      </c>
    </row>
    <row r="57" spans="1:10" x14ac:dyDescent="0.25">
      <c r="A57" t="s">
        <v>21</v>
      </c>
      <c r="B57" t="s">
        <v>25</v>
      </c>
      <c r="C57" t="s">
        <v>12</v>
      </c>
      <c r="D57" s="1">
        <f t="shared" si="13"/>
        <v>5.1641613112442227E-3</v>
      </c>
      <c r="E57" s="3">
        <v>5787621.6885000002</v>
      </c>
      <c r="F57" s="3">
        <v>0</v>
      </c>
      <c r="G57" s="7">
        <f>IF(ISERROR(D57*E57), 0, ROUND(D57*E57, 2))</f>
        <v>29888.21</v>
      </c>
      <c r="H57" s="2">
        <f t="shared" si="14"/>
        <v>1.5496147265829326E-3</v>
      </c>
      <c r="I57" s="7">
        <f t="shared" si="15"/>
        <v>34024.98648822918</v>
      </c>
      <c r="J57" s="1">
        <f>IF(ISERROR(I57/E57), 0, I57/E57)</f>
        <v>5.8789237305950388E-3</v>
      </c>
    </row>
    <row r="58" spans="1:10" x14ac:dyDescent="0.25">
      <c r="G58" s="10">
        <f>SUM(G49:G57)</f>
        <v>19287510.299999997</v>
      </c>
      <c r="H58" s="2">
        <f t="shared" si="14"/>
        <v>0.99999999999999978</v>
      </c>
      <c r="I58" s="8">
        <f>SUM(I49:I57)</f>
        <v>21957061.910000004</v>
      </c>
    </row>
    <row r="59" spans="1:10" x14ac:dyDescent="0.25">
      <c r="I59" s="9">
        <f>'[1]14. RTSR - Forecast Wholesale'!$P$109</f>
        <v>21957061.910000004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3"/>
  <sheetViews>
    <sheetView topLeftCell="A16" workbookViewId="0">
      <selection activeCell="H33" sqref="H33"/>
    </sheetView>
  </sheetViews>
  <sheetFormatPr defaultColWidth="48.28515625" defaultRowHeight="15" x14ac:dyDescent="0.25"/>
  <cols>
    <col min="2" max="2" width="0" hidden="1" customWidth="1"/>
    <col min="3" max="3" width="6.85546875" bestFit="1" customWidth="1"/>
    <col min="4" max="4" width="13.28515625" customWidth="1"/>
    <col min="5" max="5" width="15" customWidth="1"/>
    <col min="6" max="6" width="10.85546875" bestFit="1" customWidth="1"/>
    <col min="7" max="7" width="15.28515625" bestFit="1" customWidth="1"/>
    <col min="8" max="8" width="13.28515625" customWidth="1"/>
  </cols>
  <sheetData>
    <row r="1" spans="1:8" x14ac:dyDescent="0.25">
      <c r="A1" t="s">
        <v>78</v>
      </c>
    </row>
    <row r="2" spans="1:8" s="14" customFormat="1" ht="30" x14ac:dyDescent="0.25">
      <c r="A2" s="14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6" t="s">
        <v>5</v>
      </c>
      <c r="G2" s="16" t="s">
        <v>6</v>
      </c>
      <c r="H2" s="14" t="s">
        <v>73</v>
      </c>
    </row>
    <row r="4" spans="1:8" x14ac:dyDescent="0.25">
      <c r="A4" t="s">
        <v>10</v>
      </c>
      <c r="B4" t="s">
        <v>11</v>
      </c>
      <c r="C4" t="s">
        <v>12</v>
      </c>
      <c r="D4" s="1">
        <f>Summary!F6</f>
        <v>4.8881033696641886E-3</v>
      </c>
      <c r="E4" s="3">
        <v>1125362765.1448002</v>
      </c>
      <c r="F4" s="3">
        <v>0</v>
      </c>
      <c r="G4" s="7">
        <f>IF(ISERROR(D4*E4), 0, ROUND(D4*E4, 2))</f>
        <v>5500889.5199999996</v>
      </c>
      <c r="H4" s="7">
        <f>G4/12*7</f>
        <v>3208852.2199999997</v>
      </c>
    </row>
    <row r="5" spans="1:8" x14ac:dyDescent="0.25">
      <c r="A5" t="s">
        <v>13</v>
      </c>
      <c r="B5" t="s">
        <v>11</v>
      </c>
      <c r="C5" t="s">
        <v>12</v>
      </c>
      <c r="D5" s="1">
        <f>Summary!F7</f>
        <v>4.6047350557913936E-3</v>
      </c>
      <c r="E5" s="3">
        <v>406328469.68500006</v>
      </c>
      <c r="F5" s="3">
        <v>0</v>
      </c>
      <c r="G5" s="7">
        <f>IF(ISERROR(D5*E5), 0, ROUND(D5*E5, 2))</f>
        <v>1871034.95</v>
      </c>
      <c r="H5" s="7">
        <f t="shared" ref="H5:H15" si="0">G5/12*7</f>
        <v>1091437.0541666667</v>
      </c>
    </row>
    <row r="6" spans="1:8" x14ac:dyDescent="0.25">
      <c r="A6" t="s">
        <v>14</v>
      </c>
      <c r="B6" t="s">
        <v>11</v>
      </c>
      <c r="C6" t="s">
        <v>15</v>
      </c>
      <c r="D6" s="1">
        <f>Summary!F8</f>
        <v>1.6143492701814302</v>
      </c>
      <c r="E6" s="3"/>
      <c r="F6" s="37">
        <v>960337</v>
      </c>
      <c r="G6" s="7">
        <f t="shared" ref="G6:G11" si="1">IF(ISERROR(D6*F6), 0, ROUND(D6*F6, 2))</f>
        <v>1550319.34</v>
      </c>
      <c r="H6" s="7">
        <f t="shared" si="0"/>
        <v>904352.94833333336</v>
      </c>
    </row>
    <row r="7" spans="1:8" x14ac:dyDescent="0.25">
      <c r="A7" t="s">
        <v>14</v>
      </c>
      <c r="B7" t="s">
        <v>16</v>
      </c>
      <c r="C7" t="s">
        <v>15</v>
      </c>
      <c r="D7" s="1">
        <f>Summary!F9</f>
        <v>2.070147199629246</v>
      </c>
      <c r="E7" s="3"/>
      <c r="F7" s="37">
        <v>2802978</v>
      </c>
      <c r="G7" s="7">
        <f t="shared" si="1"/>
        <v>5802577.0599999996</v>
      </c>
      <c r="H7" s="7">
        <f t="shared" si="0"/>
        <v>3384836.6183333332</v>
      </c>
    </row>
    <row r="8" spans="1:8" x14ac:dyDescent="0.25">
      <c r="A8" t="s">
        <v>17</v>
      </c>
      <c r="B8" t="s">
        <v>11</v>
      </c>
      <c r="C8" t="s">
        <v>15</v>
      </c>
      <c r="D8" s="1">
        <f>Summary!F10</f>
        <v>2.3898575110107698</v>
      </c>
      <c r="E8" s="3"/>
      <c r="F8" s="3">
        <v>243439</v>
      </c>
      <c r="G8" s="7">
        <f t="shared" si="1"/>
        <v>581784.52</v>
      </c>
      <c r="H8" s="7">
        <f t="shared" si="0"/>
        <v>339374.30333333334</v>
      </c>
    </row>
    <row r="9" spans="1:8" x14ac:dyDescent="0.25">
      <c r="A9" t="s">
        <v>18</v>
      </c>
      <c r="B9" t="s">
        <v>16</v>
      </c>
      <c r="C9" t="s">
        <v>15</v>
      </c>
      <c r="D9" s="1">
        <f>Summary!F11</f>
        <v>2.1205867515033021</v>
      </c>
      <c r="E9" s="3"/>
      <c r="F9" s="3">
        <v>258044</v>
      </c>
      <c r="G9" s="7">
        <f t="shared" si="1"/>
        <v>547204.68999999994</v>
      </c>
      <c r="H9" s="7">
        <f t="shared" si="0"/>
        <v>319202.73583333334</v>
      </c>
    </row>
    <row r="10" spans="1:8" x14ac:dyDescent="0.25">
      <c r="A10" t="s">
        <v>19</v>
      </c>
      <c r="B10" t="s">
        <v>11</v>
      </c>
      <c r="C10" t="s">
        <v>15</v>
      </c>
      <c r="D10" s="1">
        <f>Summary!F12</f>
        <v>1.4213753199251835</v>
      </c>
      <c r="E10" s="3"/>
      <c r="F10" s="3">
        <v>59983.5</v>
      </c>
      <c r="G10" s="7">
        <f t="shared" si="1"/>
        <v>85259.07</v>
      </c>
      <c r="H10" s="7">
        <f t="shared" si="0"/>
        <v>49734.457500000004</v>
      </c>
    </row>
    <row r="11" spans="1:8" x14ac:dyDescent="0.25">
      <c r="A11" t="s">
        <v>20</v>
      </c>
      <c r="B11" t="s">
        <v>11</v>
      </c>
      <c r="C11" t="s">
        <v>15</v>
      </c>
      <c r="D11" s="1">
        <f>Summary!F13</f>
        <v>1.423288939567527</v>
      </c>
      <c r="E11" s="3"/>
      <c r="F11" s="3">
        <v>1939.72</v>
      </c>
      <c r="G11" s="7">
        <f t="shared" si="1"/>
        <v>2760.78</v>
      </c>
      <c r="H11" s="7">
        <f t="shared" si="0"/>
        <v>1610.4550000000002</v>
      </c>
    </row>
    <row r="12" spans="1:8" x14ac:dyDescent="0.25">
      <c r="A12" t="s">
        <v>21</v>
      </c>
      <c r="B12" t="s">
        <v>11</v>
      </c>
      <c r="C12" t="s">
        <v>12</v>
      </c>
      <c r="D12" s="1">
        <f>Summary!F14</f>
        <v>4.6047342913928284E-3</v>
      </c>
      <c r="E12" s="3">
        <v>5787621.6885000002</v>
      </c>
      <c r="F12" s="3">
        <v>0</v>
      </c>
      <c r="G12" s="7">
        <f>IF(ISERROR(D12*E12), 0, ROUND(D12*E12, 2))</f>
        <v>26650.46</v>
      </c>
      <c r="H12" s="7">
        <f t="shared" si="0"/>
        <v>15546.101666666666</v>
      </c>
    </row>
    <row r="13" spans="1:8" x14ac:dyDescent="0.25">
      <c r="A13" t="s">
        <v>68</v>
      </c>
      <c r="D13" s="1"/>
      <c r="E13" s="3"/>
      <c r="F13" s="3"/>
      <c r="G13" s="38">
        <f>SUM(G4:G12)</f>
        <v>15968480.390000001</v>
      </c>
      <c r="H13" s="38">
        <f t="shared" si="0"/>
        <v>9314946.894166667</v>
      </c>
    </row>
    <row r="14" spans="1:8" x14ac:dyDescent="0.25">
      <c r="A14" t="s">
        <v>69</v>
      </c>
      <c r="D14" s="1"/>
      <c r="E14" s="3"/>
      <c r="F14" s="3"/>
      <c r="G14" s="7">
        <f>'2018 Wholesale Calculation'!F19</f>
        <v>22481506.039999999</v>
      </c>
      <c r="H14" s="7">
        <f t="shared" si="0"/>
        <v>13114211.856666667</v>
      </c>
    </row>
    <row r="15" spans="1:8" x14ac:dyDescent="0.25">
      <c r="A15" t="s">
        <v>70</v>
      </c>
      <c r="D15" s="1"/>
      <c r="E15" s="3"/>
      <c r="F15" s="3"/>
      <c r="G15" s="39">
        <f>G13-G14</f>
        <v>-6513025.6499999985</v>
      </c>
      <c r="H15" s="39">
        <f t="shared" si="0"/>
        <v>-3799264.962499999</v>
      </c>
    </row>
    <row r="16" spans="1:8" x14ac:dyDescent="0.25">
      <c r="D16" s="1"/>
      <c r="E16" s="3"/>
      <c r="F16" s="3"/>
      <c r="G16" s="3"/>
    </row>
    <row r="17" spans="1:8" x14ac:dyDescent="0.25">
      <c r="A17" t="s">
        <v>77</v>
      </c>
    </row>
    <row r="18" spans="1:8" s="14" customFormat="1" ht="30" x14ac:dyDescent="0.25">
      <c r="A18" s="14" t="s">
        <v>0</v>
      </c>
      <c r="B18" s="14" t="s">
        <v>1</v>
      </c>
      <c r="C18" s="14" t="s">
        <v>2</v>
      </c>
      <c r="D18" s="15" t="s">
        <v>23</v>
      </c>
      <c r="E18" s="16" t="s">
        <v>4</v>
      </c>
      <c r="F18" s="16" t="s">
        <v>5</v>
      </c>
      <c r="G18" s="16" t="s">
        <v>6</v>
      </c>
      <c r="H18" s="14" t="s">
        <v>73</v>
      </c>
    </row>
    <row r="20" spans="1:8" x14ac:dyDescent="0.25">
      <c r="A20" t="s">
        <v>10</v>
      </c>
      <c r="B20" t="s">
        <v>25</v>
      </c>
      <c r="C20" t="s">
        <v>12</v>
      </c>
      <c r="D20" s="1">
        <f>Summary!G6</f>
        <v>4.7205301781279635E-3</v>
      </c>
      <c r="E20" s="3">
        <v>1125362765.1448002</v>
      </c>
      <c r="F20" s="3">
        <v>0</v>
      </c>
      <c r="G20" s="7">
        <f>IF(ISERROR(D20*E20), 0, ROUND(D20*E20, 2))</f>
        <v>5312308.8899999997</v>
      </c>
      <c r="H20" s="7">
        <f>G20/12*7</f>
        <v>3098846.8525</v>
      </c>
    </row>
    <row r="21" spans="1:8" x14ac:dyDescent="0.25">
      <c r="A21" t="s">
        <v>13</v>
      </c>
      <c r="B21" t="s">
        <v>25</v>
      </c>
      <c r="C21" t="s">
        <v>12</v>
      </c>
      <c r="D21" s="1">
        <f>Summary!G7</f>
        <v>4.1875671051689661E-3</v>
      </c>
      <c r="E21" s="3">
        <v>406328469.68500006</v>
      </c>
      <c r="F21" s="3">
        <v>0</v>
      </c>
      <c r="G21" s="7">
        <f>IF(ISERROR(D21*E21), 0, ROUND(D21*E21, 2))</f>
        <v>1701527.73</v>
      </c>
      <c r="H21" s="7">
        <f t="shared" ref="H21:H31" si="2">G21/12*7</f>
        <v>992557.84250000003</v>
      </c>
    </row>
    <row r="22" spans="1:8" x14ac:dyDescent="0.25">
      <c r="A22" t="s">
        <v>14</v>
      </c>
      <c r="B22" t="s">
        <v>25</v>
      </c>
      <c r="C22" t="s">
        <v>15</v>
      </c>
      <c r="D22" s="1">
        <f>Summary!G8</f>
        <v>1.5254164863870803</v>
      </c>
      <c r="E22" s="3"/>
      <c r="F22" s="37">
        <v>960337</v>
      </c>
      <c r="G22" s="7">
        <f t="shared" ref="G22:G27" si="3">IF(ISERROR(D22*F22), 0, ROUND(D22*F22, 2))</f>
        <v>1464913.89</v>
      </c>
      <c r="H22" s="7">
        <f t="shared" si="2"/>
        <v>854533.10249999992</v>
      </c>
    </row>
    <row r="23" spans="1:8" x14ac:dyDescent="0.25">
      <c r="A23" t="s">
        <v>14</v>
      </c>
      <c r="B23" t="s">
        <v>26</v>
      </c>
      <c r="C23" t="s">
        <v>15</v>
      </c>
      <c r="D23" s="1">
        <f>Summary!G9</f>
        <v>2.1256090603448619</v>
      </c>
      <c r="E23" s="3"/>
      <c r="F23" s="37">
        <v>2802978</v>
      </c>
      <c r="G23" s="7">
        <f t="shared" si="3"/>
        <v>5958035.4299999997</v>
      </c>
      <c r="H23" s="7">
        <f t="shared" si="2"/>
        <v>3475520.6674999995</v>
      </c>
    </row>
    <row r="24" spans="1:8" x14ac:dyDescent="0.25">
      <c r="A24" t="s">
        <v>17</v>
      </c>
      <c r="B24" t="s">
        <v>25</v>
      </c>
      <c r="C24" t="s">
        <v>15</v>
      </c>
      <c r="D24" s="1">
        <f>Summary!G10</f>
        <v>2.2484189956230582</v>
      </c>
      <c r="E24" s="3"/>
      <c r="F24" s="3">
        <v>243439</v>
      </c>
      <c r="G24" s="7">
        <f t="shared" si="3"/>
        <v>547352.87</v>
      </c>
      <c r="H24" s="7">
        <f t="shared" si="2"/>
        <v>319289.17416666669</v>
      </c>
    </row>
    <row r="25" spans="1:8" x14ac:dyDescent="0.25">
      <c r="A25" t="s">
        <v>18</v>
      </c>
      <c r="B25" t="s">
        <v>26</v>
      </c>
      <c r="C25" t="s">
        <v>15</v>
      </c>
      <c r="D25" s="1">
        <f>Summary!G11</f>
        <v>2.1256090459960477</v>
      </c>
      <c r="E25" s="3"/>
      <c r="F25" s="3">
        <v>258044</v>
      </c>
      <c r="G25" s="7">
        <f t="shared" si="3"/>
        <v>548500.66</v>
      </c>
      <c r="H25" s="7">
        <f t="shared" si="2"/>
        <v>319958.71833333338</v>
      </c>
    </row>
    <row r="26" spans="1:8" x14ac:dyDescent="0.25">
      <c r="A26" t="s">
        <v>19</v>
      </c>
      <c r="B26" t="s">
        <v>25</v>
      </c>
      <c r="C26" t="s">
        <v>15</v>
      </c>
      <c r="D26" s="1">
        <f>Summary!G12</f>
        <v>1.3431430207362336</v>
      </c>
      <c r="E26" s="3"/>
      <c r="F26" s="3">
        <v>59983.5</v>
      </c>
      <c r="G26" s="7">
        <f t="shared" si="3"/>
        <v>80566.42</v>
      </c>
      <c r="H26" s="7">
        <f t="shared" si="2"/>
        <v>46997.078333333331</v>
      </c>
    </row>
    <row r="27" spans="1:8" x14ac:dyDescent="0.25">
      <c r="A27" t="s">
        <v>20</v>
      </c>
      <c r="B27" t="s">
        <v>25</v>
      </c>
      <c r="C27" t="s">
        <v>15</v>
      </c>
      <c r="D27" s="1">
        <f>Summary!G13</f>
        <v>1.344971204403324</v>
      </c>
      <c r="E27" s="3"/>
      <c r="F27" s="3">
        <v>1939.72</v>
      </c>
      <c r="G27" s="7">
        <f t="shared" si="3"/>
        <v>2608.87</v>
      </c>
      <c r="H27" s="7">
        <f t="shared" si="2"/>
        <v>1521.8408333333334</v>
      </c>
    </row>
    <row r="28" spans="1:8" x14ac:dyDescent="0.25">
      <c r="A28" t="s">
        <v>21</v>
      </c>
      <c r="B28" t="s">
        <v>25</v>
      </c>
      <c r="C28" t="s">
        <v>12</v>
      </c>
      <c r="D28" s="1">
        <f>Summary!G14</f>
        <v>4.1875668181066928E-3</v>
      </c>
      <c r="E28" s="3">
        <v>5787621.6885000002</v>
      </c>
      <c r="F28" s="3">
        <v>0</v>
      </c>
      <c r="G28" s="7">
        <f>IF(ISERROR(D28*E28), 0, ROUND(D28*E28, 2))</f>
        <v>24236.05</v>
      </c>
      <c r="H28" s="7">
        <f t="shared" si="2"/>
        <v>14137.695833333333</v>
      </c>
    </row>
    <row r="29" spans="1:8" x14ac:dyDescent="0.25">
      <c r="A29" t="s">
        <v>68</v>
      </c>
      <c r="G29" s="38">
        <f>SUM(G20:G28)</f>
        <v>15640050.809999999</v>
      </c>
      <c r="H29" s="38">
        <f t="shared" si="2"/>
        <v>9123362.9725000001</v>
      </c>
    </row>
    <row r="30" spans="1:8" x14ac:dyDescent="0.25">
      <c r="A30" t="s">
        <v>69</v>
      </c>
      <c r="G30" s="7">
        <f>'2018 Wholesale Calculation'!P19</f>
        <v>21957061.910000004</v>
      </c>
      <c r="H30" s="7">
        <f t="shared" si="2"/>
        <v>12808286.114166668</v>
      </c>
    </row>
    <row r="31" spans="1:8" x14ac:dyDescent="0.25">
      <c r="A31" t="s">
        <v>71</v>
      </c>
      <c r="G31" s="39">
        <f>G29-G30</f>
        <v>-6317011.1000000052</v>
      </c>
      <c r="H31" s="39">
        <f t="shared" si="2"/>
        <v>-3684923.1416666699</v>
      </c>
    </row>
    <row r="33" spans="1:8" x14ac:dyDescent="0.25">
      <c r="A33" s="40" t="s">
        <v>72</v>
      </c>
      <c r="G33" s="39">
        <f>G15+G31</f>
        <v>-12830036.750000004</v>
      </c>
      <c r="H33" s="39">
        <f>H15+H31</f>
        <v>-7484188.1041666688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3"/>
  <sheetViews>
    <sheetView topLeftCell="A10" workbookViewId="0">
      <selection activeCell="H33" sqref="H33"/>
    </sheetView>
  </sheetViews>
  <sheetFormatPr defaultColWidth="48.28515625" defaultRowHeight="15" x14ac:dyDescent="0.25"/>
  <cols>
    <col min="2" max="2" width="0" hidden="1" customWidth="1"/>
    <col min="3" max="3" width="6.85546875" bestFit="1" customWidth="1"/>
    <col min="4" max="4" width="13.28515625" customWidth="1"/>
    <col min="5" max="5" width="15" customWidth="1"/>
    <col min="6" max="6" width="10.85546875" bestFit="1" customWidth="1"/>
    <col min="7" max="7" width="15.28515625" bestFit="1" customWidth="1"/>
    <col min="8" max="8" width="13.28515625" customWidth="1"/>
  </cols>
  <sheetData>
    <row r="1" spans="1:8" x14ac:dyDescent="0.25">
      <c r="A1" t="s">
        <v>78</v>
      </c>
    </row>
    <row r="2" spans="1:8" s="14" customFormat="1" ht="45" x14ac:dyDescent="0.25">
      <c r="A2" s="14" t="s">
        <v>0</v>
      </c>
      <c r="B2" s="14" t="s">
        <v>1</v>
      </c>
      <c r="C2" s="14" t="s">
        <v>2</v>
      </c>
      <c r="D2" s="15" t="s">
        <v>29</v>
      </c>
      <c r="E2" s="16" t="s">
        <v>4</v>
      </c>
      <c r="F2" s="16" t="s">
        <v>5</v>
      </c>
      <c r="G2" s="16" t="s">
        <v>82</v>
      </c>
      <c r="H2" s="14" t="s">
        <v>74</v>
      </c>
    </row>
    <row r="4" spans="1:8" x14ac:dyDescent="0.25">
      <c r="A4" t="s">
        <v>10</v>
      </c>
      <c r="B4" t="s">
        <v>11</v>
      </c>
      <c r="C4" t="s">
        <v>12</v>
      </c>
      <c r="D4" s="1">
        <f>Summary!O6</f>
        <v>8.8755012798359574E-3</v>
      </c>
      <c r="E4" s="3">
        <v>1125362765.1448002</v>
      </c>
      <c r="F4" s="3">
        <v>0</v>
      </c>
      <c r="G4" s="7">
        <f>IF(ISERROR(D4*E4), 0, ROUND(D4*E4, 2))</f>
        <v>9988158.6600000001</v>
      </c>
      <c r="H4" s="7">
        <f>G4/12*5</f>
        <v>4161732.7750000004</v>
      </c>
    </row>
    <row r="5" spans="1:8" x14ac:dyDescent="0.25">
      <c r="A5" t="s">
        <v>13</v>
      </c>
      <c r="B5" t="s">
        <v>11</v>
      </c>
      <c r="C5" t="s">
        <v>12</v>
      </c>
      <c r="D5" s="1">
        <f>Summary!O7</f>
        <v>8.3609794577667283E-3</v>
      </c>
      <c r="E5" s="3">
        <v>406328469.68500006</v>
      </c>
      <c r="F5" s="3">
        <v>0</v>
      </c>
      <c r="G5" s="7">
        <f>IF(ISERROR(D5*E5), 0, ROUND(D5*E5, 2))</f>
        <v>3397303.99</v>
      </c>
      <c r="H5" s="7">
        <f t="shared" ref="H5:H12" si="0">G5/12*5</f>
        <v>1415543.3291666666</v>
      </c>
    </row>
    <row r="6" spans="1:8" x14ac:dyDescent="0.25">
      <c r="A6" t="s">
        <v>14</v>
      </c>
      <c r="B6" t="s">
        <v>11</v>
      </c>
      <c r="C6" t="s">
        <v>15</v>
      </c>
      <c r="D6" s="1">
        <f>Summary!O8</f>
        <v>2.9312307686017451</v>
      </c>
      <c r="E6" s="3"/>
      <c r="F6" s="37">
        <v>960337</v>
      </c>
      <c r="G6" s="7">
        <f t="shared" ref="G6:G11" si="1">IF(ISERROR(D6*F6), 0, ROUND(D6*F6, 2))</f>
        <v>2814969.36</v>
      </c>
      <c r="H6" s="7">
        <f t="shared" si="0"/>
        <v>1172903.8999999999</v>
      </c>
    </row>
    <row r="7" spans="1:8" x14ac:dyDescent="0.25">
      <c r="A7" t="s">
        <v>14</v>
      </c>
      <c r="B7" t="s">
        <v>16</v>
      </c>
      <c r="C7" t="s">
        <v>15</v>
      </c>
      <c r="D7" s="1">
        <f>Summary!O9</f>
        <v>3.7588391014042832</v>
      </c>
      <c r="E7" s="3"/>
      <c r="F7" s="37">
        <v>2802978</v>
      </c>
      <c r="G7" s="7">
        <f t="shared" si="1"/>
        <v>10535943.310000001</v>
      </c>
      <c r="H7" s="7">
        <f t="shared" si="0"/>
        <v>4389976.3791666664</v>
      </c>
    </row>
    <row r="8" spans="1:8" x14ac:dyDescent="0.25">
      <c r="A8" t="s">
        <v>17</v>
      </c>
      <c r="B8" t="s">
        <v>11</v>
      </c>
      <c r="C8" t="s">
        <v>15</v>
      </c>
      <c r="D8" s="1">
        <f>Summary!O10</f>
        <v>4.3393483514692939</v>
      </c>
      <c r="E8" s="3"/>
      <c r="F8" s="3">
        <v>243439</v>
      </c>
      <c r="G8" s="7">
        <f t="shared" si="1"/>
        <v>1056366.6200000001</v>
      </c>
      <c r="H8" s="7">
        <f t="shared" si="0"/>
        <v>440152.75833333342</v>
      </c>
    </row>
    <row r="9" spans="1:8" x14ac:dyDescent="0.25">
      <c r="A9" t="s">
        <v>18</v>
      </c>
      <c r="B9" t="s">
        <v>16</v>
      </c>
      <c r="C9" t="s">
        <v>15</v>
      </c>
      <c r="D9" s="1">
        <f>Summary!O11</f>
        <v>3.8504239616694327</v>
      </c>
      <c r="E9" s="3"/>
      <c r="F9" s="3">
        <v>258044</v>
      </c>
      <c r="G9" s="7">
        <f t="shared" si="1"/>
        <v>993578.8</v>
      </c>
      <c r="H9" s="7">
        <f t="shared" si="0"/>
        <v>413991.16666666669</v>
      </c>
    </row>
    <row r="10" spans="1:8" x14ac:dyDescent="0.25">
      <c r="A10" t="s">
        <v>19</v>
      </c>
      <c r="B10" t="s">
        <v>11</v>
      </c>
      <c r="C10" t="s">
        <v>15</v>
      </c>
      <c r="D10" s="1">
        <f>Summary!O12</f>
        <v>2.5808415009938299</v>
      </c>
      <c r="E10" s="3"/>
      <c r="F10" s="3">
        <v>59983.5</v>
      </c>
      <c r="G10" s="7">
        <f t="shared" si="1"/>
        <v>154807.91</v>
      </c>
      <c r="H10" s="7">
        <f t="shared" si="0"/>
        <v>64503.29583333333</v>
      </c>
    </row>
    <row r="11" spans="1:8" x14ac:dyDescent="0.25">
      <c r="A11" t="s">
        <v>20</v>
      </c>
      <c r="B11" t="s">
        <v>11</v>
      </c>
      <c r="C11" t="s">
        <v>15</v>
      </c>
      <c r="D11" s="1">
        <f>Summary!O13</f>
        <v>2.5843162649017337</v>
      </c>
      <c r="E11" s="3"/>
      <c r="F11" s="3">
        <v>1939.72</v>
      </c>
      <c r="G11" s="7">
        <f t="shared" si="1"/>
        <v>5012.8500000000004</v>
      </c>
      <c r="H11" s="7">
        <f t="shared" si="0"/>
        <v>2088.6875</v>
      </c>
    </row>
    <row r="12" spans="1:8" x14ac:dyDescent="0.25">
      <c r="A12" t="s">
        <v>21</v>
      </c>
      <c r="B12" t="s">
        <v>11</v>
      </c>
      <c r="C12" t="s">
        <v>12</v>
      </c>
      <c r="D12" s="1">
        <f>Summary!O14</f>
        <v>8.3609811227315332E-3</v>
      </c>
      <c r="E12" s="3">
        <v>5787621.6885000002</v>
      </c>
      <c r="F12" s="3">
        <v>0</v>
      </c>
      <c r="G12" s="7">
        <f>IF(ISERROR(D12*E12), 0, ROUND(D12*E12, 2))</f>
        <v>48390.2</v>
      </c>
      <c r="H12" s="7">
        <f t="shared" si="0"/>
        <v>20162.583333333332</v>
      </c>
    </row>
    <row r="13" spans="1:8" x14ac:dyDescent="0.25">
      <c r="A13" t="s">
        <v>68</v>
      </c>
      <c r="D13" s="1"/>
      <c r="E13" s="3"/>
      <c r="F13" s="3"/>
      <c r="G13" s="38">
        <f>SUM(G4:G12)</f>
        <v>28994531.700000003</v>
      </c>
      <c r="H13" s="38">
        <f>SUM(H4:H12)</f>
        <v>12081054.874999998</v>
      </c>
    </row>
    <row r="14" spans="1:8" x14ac:dyDescent="0.25">
      <c r="A14" t="s">
        <v>69</v>
      </c>
      <c r="D14" s="1"/>
      <c r="E14" s="3"/>
      <c r="F14" s="3"/>
      <c r="G14" s="7">
        <f>'2018 Wholesale Calculation'!F19</f>
        <v>22481506.039999999</v>
      </c>
      <c r="H14" s="7">
        <f>G14/12*5</f>
        <v>9367294.1833333336</v>
      </c>
    </row>
    <row r="15" spans="1:8" x14ac:dyDescent="0.25">
      <c r="A15" s="40" t="s">
        <v>79</v>
      </c>
      <c r="D15" s="1"/>
      <c r="E15" s="3"/>
      <c r="F15" s="3"/>
      <c r="G15" s="39">
        <f>G13-G14</f>
        <v>6513025.6600000039</v>
      </c>
      <c r="H15" s="39">
        <f>H13-H14</f>
        <v>2713760.6916666646</v>
      </c>
    </row>
    <row r="16" spans="1:8" x14ac:dyDescent="0.25">
      <c r="D16" s="1"/>
      <c r="E16" s="3"/>
      <c r="F16" s="3"/>
      <c r="G16" s="3"/>
    </row>
    <row r="17" spans="1:8" x14ac:dyDescent="0.25">
      <c r="A17" t="s">
        <v>77</v>
      </c>
    </row>
    <row r="18" spans="1:8" s="14" customFormat="1" ht="45" x14ac:dyDescent="0.25">
      <c r="A18" s="14" t="s">
        <v>0</v>
      </c>
      <c r="B18" s="14" t="s">
        <v>1</v>
      </c>
      <c r="C18" s="14" t="s">
        <v>2</v>
      </c>
      <c r="D18" s="15" t="s">
        <v>31</v>
      </c>
      <c r="E18" s="16" t="s">
        <v>4</v>
      </c>
      <c r="F18" s="16" t="s">
        <v>5</v>
      </c>
      <c r="G18" s="16" t="s">
        <v>82</v>
      </c>
      <c r="H18" s="14" t="s">
        <v>74</v>
      </c>
    </row>
    <row r="20" spans="1:8" x14ac:dyDescent="0.25">
      <c r="A20" t="s">
        <v>10</v>
      </c>
      <c r="B20" t="s">
        <v>25</v>
      </c>
      <c r="C20" t="s">
        <v>12</v>
      </c>
      <c r="D20" s="1">
        <f>Summary!P6</f>
        <v>8.53377118587971E-3</v>
      </c>
      <c r="E20" s="3">
        <v>1125362765.1448002</v>
      </c>
      <c r="F20" s="3">
        <v>0</v>
      </c>
      <c r="G20" s="7">
        <f>IF(ISERROR(D20*E20), 0, ROUND(D20*E20, 2))</f>
        <v>9603588.3399999999</v>
      </c>
      <c r="H20" s="7">
        <f>G20/12*5</f>
        <v>4001495.1416666666</v>
      </c>
    </row>
    <row r="21" spans="1:8" x14ac:dyDescent="0.25">
      <c r="A21" t="s">
        <v>13</v>
      </c>
      <c r="B21" t="s">
        <v>25</v>
      </c>
      <c r="C21" t="s">
        <v>12</v>
      </c>
      <c r="D21" s="1">
        <f>Summary!P7</f>
        <v>7.5702808500220037E-3</v>
      </c>
      <c r="E21" s="3">
        <v>406328469.68500006</v>
      </c>
      <c r="F21" s="3">
        <v>0</v>
      </c>
      <c r="G21" s="7">
        <f>IF(ISERROR(D21*E21), 0, ROUND(D21*E21, 2))</f>
        <v>3076020.63</v>
      </c>
      <c r="H21" s="7">
        <f t="shared" ref="H21:H28" si="2">G21/12*5</f>
        <v>1281675.2625</v>
      </c>
    </row>
    <row r="22" spans="1:8" x14ac:dyDescent="0.25">
      <c r="A22" t="s">
        <v>14</v>
      </c>
      <c r="B22" t="s">
        <v>25</v>
      </c>
      <c r="C22" t="s">
        <v>15</v>
      </c>
      <c r="D22" s="1">
        <f>Summary!P8</f>
        <v>2.7576468635533407</v>
      </c>
      <c r="E22" s="3"/>
      <c r="F22" s="37">
        <v>960337</v>
      </c>
      <c r="G22" s="7">
        <f t="shared" ref="G22:G27" si="3">IF(ISERROR(D22*F22), 0, ROUND(D22*F22, 2))</f>
        <v>2648270.3199999998</v>
      </c>
      <c r="H22" s="7">
        <f t="shared" si="2"/>
        <v>1103445.9666666666</v>
      </c>
    </row>
    <row r="23" spans="1:8" x14ac:dyDescent="0.25">
      <c r="A23" t="s">
        <v>14</v>
      </c>
      <c r="B23" t="s">
        <v>26</v>
      </c>
      <c r="C23" t="s">
        <v>15</v>
      </c>
      <c r="D23" s="1">
        <f>Summary!P9</f>
        <v>3.8426745786306928</v>
      </c>
      <c r="E23" s="3"/>
      <c r="F23" s="37">
        <v>2802978</v>
      </c>
      <c r="G23" s="7">
        <f t="shared" si="3"/>
        <v>10770932.310000001</v>
      </c>
      <c r="H23" s="7">
        <f t="shared" si="2"/>
        <v>4487888.4625000004</v>
      </c>
    </row>
    <row r="24" spans="1:8" x14ac:dyDescent="0.25">
      <c r="A24" t="s">
        <v>17</v>
      </c>
      <c r="B24" t="s">
        <v>25</v>
      </c>
      <c r="C24" t="s">
        <v>15</v>
      </c>
      <c r="D24" s="1">
        <f>Summary!P10</f>
        <v>4.0646902226355852</v>
      </c>
      <c r="E24" s="3"/>
      <c r="F24" s="3">
        <v>243439</v>
      </c>
      <c r="G24" s="7">
        <f t="shared" si="3"/>
        <v>989504.12</v>
      </c>
      <c r="H24" s="7">
        <f t="shared" si="2"/>
        <v>412293.3833333333</v>
      </c>
    </row>
    <row r="25" spans="1:8" x14ac:dyDescent="0.25">
      <c r="A25" t="s">
        <v>18</v>
      </c>
      <c r="B25" t="s">
        <v>26</v>
      </c>
      <c r="C25" t="s">
        <v>15</v>
      </c>
      <c r="D25" s="1">
        <f>Summary!P11</f>
        <v>3.8426745930695354</v>
      </c>
      <c r="E25" s="3"/>
      <c r="F25" s="3">
        <v>258044</v>
      </c>
      <c r="G25" s="7">
        <f t="shared" si="3"/>
        <v>991579.12</v>
      </c>
      <c r="H25" s="7">
        <f t="shared" si="2"/>
        <v>413157.96666666667</v>
      </c>
    </row>
    <row r="26" spans="1:8" x14ac:dyDescent="0.25">
      <c r="A26" t="s">
        <v>19</v>
      </c>
      <c r="B26" t="s">
        <v>25</v>
      </c>
      <c r="C26" t="s">
        <v>15</v>
      </c>
      <c r="D26" s="1">
        <f>Summary!P12</f>
        <v>2.4281331432939663</v>
      </c>
      <c r="E26" s="3"/>
      <c r="F26" s="3">
        <v>59983.5</v>
      </c>
      <c r="G26" s="7">
        <f t="shared" si="3"/>
        <v>145647.92000000001</v>
      </c>
      <c r="H26" s="7">
        <f t="shared" si="2"/>
        <v>60686.633333333339</v>
      </c>
    </row>
    <row r="27" spans="1:8" x14ac:dyDescent="0.25">
      <c r="A27" t="s">
        <v>20</v>
      </c>
      <c r="B27" t="s">
        <v>25</v>
      </c>
      <c r="C27" t="s">
        <v>15</v>
      </c>
      <c r="D27" s="1">
        <f>Summary!P13</f>
        <v>2.4314394691765564</v>
      </c>
      <c r="E27" s="3"/>
      <c r="F27" s="3">
        <v>1939.72</v>
      </c>
      <c r="G27" s="7">
        <f t="shared" si="3"/>
        <v>4716.3100000000004</v>
      </c>
      <c r="H27" s="7">
        <f t="shared" si="2"/>
        <v>1965.1291666666668</v>
      </c>
    </row>
    <row r="28" spans="1:8" x14ac:dyDescent="0.25">
      <c r="A28" t="s">
        <v>21</v>
      </c>
      <c r="B28" t="s">
        <v>25</v>
      </c>
      <c r="C28" t="s">
        <v>12</v>
      </c>
      <c r="D28" s="1">
        <f>Summary!P14</f>
        <v>7.5702806430833847E-3</v>
      </c>
      <c r="E28" s="3">
        <v>5787621.6885000002</v>
      </c>
      <c r="F28" s="3">
        <v>0</v>
      </c>
      <c r="G28" s="7">
        <f>IF(ISERROR(D28*E28), 0, ROUND(D28*E28, 2))</f>
        <v>43813.919999999998</v>
      </c>
      <c r="H28" s="7">
        <f t="shared" si="2"/>
        <v>18255.8</v>
      </c>
    </row>
    <row r="29" spans="1:8" x14ac:dyDescent="0.25">
      <c r="A29" t="s">
        <v>68</v>
      </c>
      <c r="G29" s="38">
        <f>SUM(G20:G28)</f>
        <v>28274072.990000006</v>
      </c>
      <c r="H29" s="38">
        <f>SUM(H20:H28)</f>
        <v>11780863.745833334</v>
      </c>
    </row>
    <row r="30" spans="1:8" x14ac:dyDescent="0.25">
      <c r="A30" t="s">
        <v>69</v>
      </c>
      <c r="G30" s="7">
        <f>'2018 Wholesale Calculation'!P19</f>
        <v>21957061.910000004</v>
      </c>
      <c r="H30" s="7">
        <f>G30/12*5</f>
        <v>9148775.7958333343</v>
      </c>
    </row>
    <row r="31" spans="1:8" x14ac:dyDescent="0.25">
      <c r="A31" t="s">
        <v>80</v>
      </c>
      <c r="G31" s="39">
        <f>G29-G30</f>
        <v>6317011.0800000019</v>
      </c>
      <c r="H31" s="39">
        <f>H29-H30</f>
        <v>2632087.9499999993</v>
      </c>
    </row>
    <row r="33" spans="1:8" x14ac:dyDescent="0.25">
      <c r="A33" t="s">
        <v>81</v>
      </c>
      <c r="G33" s="39">
        <f>G15+G31</f>
        <v>12830036.740000006</v>
      </c>
      <c r="H33" s="39">
        <f>H15+H31</f>
        <v>5345848.6416666638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3"/>
  <sheetViews>
    <sheetView topLeftCell="A13" workbookViewId="0">
      <selection activeCell="E33" sqref="E33"/>
    </sheetView>
  </sheetViews>
  <sheetFormatPr defaultColWidth="48.28515625" defaultRowHeight="15" x14ac:dyDescent="0.25"/>
  <cols>
    <col min="2" max="2" width="0" hidden="1" customWidth="1"/>
    <col min="3" max="3" width="13.7109375" bestFit="1" customWidth="1"/>
    <col min="4" max="4" width="13.28515625" customWidth="1"/>
    <col min="5" max="5" width="15.28515625" bestFit="1" customWidth="1"/>
  </cols>
  <sheetData>
    <row r="1" spans="1:5" x14ac:dyDescent="0.25">
      <c r="A1" t="s">
        <v>78</v>
      </c>
    </row>
    <row r="2" spans="1:5" s="14" customFormat="1" x14ac:dyDescent="0.25">
      <c r="A2" s="14" t="s">
        <v>0</v>
      </c>
      <c r="B2" s="14" t="s">
        <v>1</v>
      </c>
      <c r="C2" s="14" t="s">
        <v>73</v>
      </c>
      <c r="D2" s="14" t="s">
        <v>74</v>
      </c>
      <c r="E2" s="16" t="s">
        <v>6</v>
      </c>
    </row>
    <row r="4" spans="1:5" x14ac:dyDescent="0.25">
      <c r="A4" t="s">
        <v>10</v>
      </c>
      <c r="B4" t="s">
        <v>11</v>
      </c>
      <c r="C4" s="7">
        <f>'2018 Current Revenue'!H4</f>
        <v>3208852.2199999997</v>
      </c>
      <c r="D4" s="7">
        <f>'2018 Proposed Revenue'!H4</f>
        <v>4161732.7750000004</v>
      </c>
      <c r="E4" s="7">
        <f>SUM(C4:D4)</f>
        <v>7370584.9950000001</v>
      </c>
    </row>
    <row r="5" spans="1:5" x14ac:dyDescent="0.25">
      <c r="A5" t="s">
        <v>13</v>
      </c>
      <c r="B5" t="s">
        <v>11</v>
      </c>
      <c r="C5" s="7">
        <f>'2018 Current Revenue'!H5</f>
        <v>1091437.0541666667</v>
      </c>
      <c r="D5" s="7">
        <f>'2018 Proposed Revenue'!H5</f>
        <v>1415543.3291666666</v>
      </c>
      <c r="E5" s="7">
        <f t="shared" ref="E5:E15" si="0">SUM(C5:D5)</f>
        <v>2506980.3833333333</v>
      </c>
    </row>
    <row r="6" spans="1:5" x14ac:dyDescent="0.25">
      <c r="A6" t="s">
        <v>14</v>
      </c>
      <c r="B6" t="s">
        <v>11</v>
      </c>
      <c r="C6" s="7">
        <f>'2018 Current Revenue'!H6</f>
        <v>904352.94833333336</v>
      </c>
      <c r="D6" s="7">
        <f>'2018 Proposed Revenue'!H6</f>
        <v>1172903.8999999999</v>
      </c>
      <c r="E6" s="7">
        <f t="shared" si="0"/>
        <v>2077256.8483333332</v>
      </c>
    </row>
    <row r="7" spans="1:5" x14ac:dyDescent="0.25">
      <c r="A7" t="s">
        <v>14</v>
      </c>
      <c r="B7" t="s">
        <v>16</v>
      </c>
      <c r="C7" s="7">
        <f>'2018 Current Revenue'!H7</f>
        <v>3384836.6183333332</v>
      </c>
      <c r="D7" s="7">
        <f>'2018 Proposed Revenue'!H7</f>
        <v>4389976.3791666664</v>
      </c>
      <c r="E7" s="7">
        <f t="shared" si="0"/>
        <v>7774812.9974999996</v>
      </c>
    </row>
    <row r="8" spans="1:5" x14ac:dyDescent="0.25">
      <c r="A8" t="s">
        <v>17</v>
      </c>
      <c r="B8" t="s">
        <v>11</v>
      </c>
      <c r="C8" s="7">
        <f>'2018 Current Revenue'!H8</f>
        <v>339374.30333333334</v>
      </c>
      <c r="D8" s="7">
        <f>'2018 Proposed Revenue'!H8</f>
        <v>440152.75833333342</v>
      </c>
      <c r="E8" s="7">
        <f t="shared" si="0"/>
        <v>779527.06166666676</v>
      </c>
    </row>
    <row r="9" spans="1:5" x14ac:dyDescent="0.25">
      <c r="A9" t="s">
        <v>18</v>
      </c>
      <c r="B9" t="s">
        <v>16</v>
      </c>
      <c r="C9" s="7">
        <f>'2018 Current Revenue'!H9</f>
        <v>319202.73583333334</v>
      </c>
      <c r="D9" s="7">
        <f>'2018 Proposed Revenue'!H9</f>
        <v>413991.16666666669</v>
      </c>
      <c r="E9" s="7">
        <f t="shared" si="0"/>
        <v>733193.90250000008</v>
      </c>
    </row>
    <row r="10" spans="1:5" x14ac:dyDescent="0.25">
      <c r="A10" t="s">
        <v>19</v>
      </c>
      <c r="B10" t="s">
        <v>11</v>
      </c>
      <c r="C10" s="7">
        <f>'2018 Current Revenue'!H10</f>
        <v>49734.457500000004</v>
      </c>
      <c r="D10" s="7">
        <f>'2018 Proposed Revenue'!H10</f>
        <v>64503.29583333333</v>
      </c>
      <c r="E10" s="7">
        <f t="shared" si="0"/>
        <v>114237.75333333333</v>
      </c>
    </row>
    <row r="11" spans="1:5" x14ac:dyDescent="0.25">
      <c r="A11" t="s">
        <v>20</v>
      </c>
      <c r="B11" t="s">
        <v>11</v>
      </c>
      <c r="C11" s="7">
        <f>'2018 Current Revenue'!H11</f>
        <v>1610.4550000000002</v>
      </c>
      <c r="D11" s="7">
        <f>'2018 Proposed Revenue'!H11</f>
        <v>2088.6875</v>
      </c>
      <c r="E11" s="7">
        <f t="shared" si="0"/>
        <v>3699.1424999999999</v>
      </c>
    </row>
    <row r="12" spans="1:5" x14ac:dyDescent="0.25">
      <c r="A12" t="s">
        <v>21</v>
      </c>
      <c r="B12" t="s">
        <v>11</v>
      </c>
      <c r="C12" s="7">
        <f>'2018 Current Revenue'!H12</f>
        <v>15546.101666666666</v>
      </c>
      <c r="D12" s="7">
        <f>'2018 Proposed Revenue'!H12</f>
        <v>20162.583333333332</v>
      </c>
      <c r="E12" s="7">
        <f t="shared" si="0"/>
        <v>35708.684999999998</v>
      </c>
    </row>
    <row r="13" spans="1:5" x14ac:dyDescent="0.25">
      <c r="A13" t="s">
        <v>68</v>
      </c>
      <c r="C13" s="38">
        <f>'2018 Current Revenue'!H13</f>
        <v>9314946.894166667</v>
      </c>
      <c r="D13" s="38">
        <f>'2018 Proposed Revenue'!H13</f>
        <v>12081054.874999998</v>
      </c>
      <c r="E13" s="38">
        <f t="shared" si="0"/>
        <v>21396001.769166663</v>
      </c>
    </row>
    <row r="14" spans="1:5" x14ac:dyDescent="0.25">
      <c r="A14" t="s">
        <v>69</v>
      </c>
      <c r="C14" s="7">
        <f>'2018 Current Revenue'!H14</f>
        <v>13114211.856666667</v>
      </c>
      <c r="D14" s="7">
        <f>'2018 Proposed Revenue'!H14</f>
        <v>9367294.1833333336</v>
      </c>
      <c r="E14" s="7">
        <f t="shared" si="0"/>
        <v>22481506.039999999</v>
      </c>
    </row>
    <row r="15" spans="1:5" x14ac:dyDescent="0.25">
      <c r="A15" t="s">
        <v>83</v>
      </c>
      <c r="C15" s="39">
        <f>'2018 Current Revenue'!H15</f>
        <v>-3799264.962499999</v>
      </c>
      <c r="D15" s="39">
        <f>'2018 Proposed Revenue'!H15</f>
        <v>2713760.6916666646</v>
      </c>
      <c r="E15" s="39">
        <f t="shared" si="0"/>
        <v>-1085504.2708333344</v>
      </c>
    </row>
    <row r="16" spans="1:5" x14ac:dyDescent="0.25">
      <c r="E16" s="3"/>
    </row>
    <row r="17" spans="1:5" x14ac:dyDescent="0.25">
      <c r="A17" t="s">
        <v>77</v>
      </c>
    </row>
    <row r="18" spans="1:5" s="14" customFormat="1" x14ac:dyDescent="0.25">
      <c r="A18" s="14" t="s">
        <v>0</v>
      </c>
      <c r="B18" s="14" t="s">
        <v>1</v>
      </c>
      <c r="C18" s="14" t="s">
        <v>73</v>
      </c>
      <c r="D18" s="14" t="s">
        <v>74</v>
      </c>
      <c r="E18" s="16" t="s">
        <v>6</v>
      </c>
    </row>
    <row r="20" spans="1:5" x14ac:dyDescent="0.25">
      <c r="A20" t="s">
        <v>10</v>
      </c>
      <c r="B20" t="s">
        <v>25</v>
      </c>
      <c r="C20" s="7">
        <f>'2018 Current Revenue'!H20</f>
        <v>3098846.8525</v>
      </c>
      <c r="D20" s="7">
        <f>'2018 Proposed Revenue'!H20</f>
        <v>4001495.1416666666</v>
      </c>
      <c r="E20" s="7">
        <f>SUM(C20:D20)</f>
        <v>7100341.9941666666</v>
      </c>
    </row>
    <row r="21" spans="1:5" x14ac:dyDescent="0.25">
      <c r="A21" t="s">
        <v>13</v>
      </c>
      <c r="B21" t="s">
        <v>25</v>
      </c>
      <c r="C21" s="7">
        <f>'2018 Current Revenue'!H21</f>
        <v>992557.84250000003</v>
      </c>
      <c r="D21" s="7">
        <f>'2018 Proposed Revenue'!H21</f>
        <v>1281675.2625</v>
      </c>
      <c r="E21" s="7">
        <f t="shared" ref="E21:E31" si="1">SUM(C21:D21)</f>
        <v>2274233.105</v>
      </c>
    </row>
    <row r="22" spans="1:5" x14ac:dyDescent="0.25">
      <c r="A22" t="s">
        <v>14</v>
      </c>
      <c r="B22" t="s">
        <v>25</v>
      </c>
      <c r="C22" s="7">
        <f>'2018 Current Revenue'!H22</f>
        <v>854533.10249999992</v>
      </c>
      <c r="D22" s="7">
        <f>'2018 Proposed Revenue'!H22</f>
        <v>1103445.9666666666</v>
      </c>
      <c r="E22" s="7">
        <f t="shared" si="1"/>
        <v>1957979.0691666664</v>
      </c>
    </row>
    <row r="23" spans="1:5" x14ac:dyDescent="0.25">
      <c r="A23" t="s">
        <v>14</v>
      </c>
      <c r="B23" t="s">
        <v>26</v>
      </c>
      <c r="C23" s="7">
        <f>'2018 Current Revenue'!H23</f>
        <v>3475520.6674999995</v>
      </c>
      <c r="D23" s="7">
        <f>'2018 Proposed Revenue'!H23</f>
        <v>4487888.4625000004</v>
      </c>
      <c r="E23" s="7">
        <f t="shared" si="1"/>
        <v>7963409.1299999999</v>
      </c>
    </row>
    <row r="24" spans="1:5" x14ac:dyDescent="0.25">
      <c r="A24" t="s">
        <v>17</v>
      </c>
      <c r="B24" t="s">
        <v>25</v>
      </c>
      <c r="C24" s="7">
        <f>'2018 Current Revenue'!H24</f>
        <v>319289.17416666669</v>
      </c>
      <c r="D24" s="7">
        <f>'2018 Proposed Revenue'!H24</f>
        <v>412293.3833333333</v>
      </c>
      <c r="E24" s="7">
        <f t="shared" si="1"/>
        <v>731582.5575</v>
      </c>
    </row>
    <row r="25" spans="1:5" x14ac:dyDescent="0.25">
      <c r="A25" t="s">
        <v>18</v>
      </c>
      <c r="B25" t="s">
        <v>26</v>
      </c>
      <c r="C25" s="7">
        <f>'2018 Current Revenue'!H25</f>
        <v>319958.71833333338</v>
      </c>
      <c r="D25" s="7">
        <f>'2018 Proposed Revenue'!H25</f>
        <v>413157.96666666667</v>
      </c>
      <c r="E25" s="7">
        <f t="shared" si="1"/>
        <v>733116.68500000006</v>
      </c>
    </row>
    <row r="26" spans="1:5" x14ac:dyDescent="0.25">
      <c r="A26" t="s">
        <v>19</v>
      </c>
      <c r="B26" t="s">
        <v>25</v>
      </c>
      <c r="C26" s="7">
        <f>'2018 Current Revenue'!H26</f>
        <v>46997.078333333331</v>
      </c>
      <c r="D26" s="7">
        <f>'2018 Proposed Revenue'!H26</f>
        <v>60686.633333333339</v>
      </c>
      <c r="E26" s="7">
        <f t="shared" si="1"/>
        <v>107683.71166666667</v>
      </c>
    </row>
    <row r="27" spans="1:5" x14ac:dyDescent="0.25">
      <c r="A27" t="s">
        <v>20</v>
      </c>
      <c r="B27" t="s">
        <v>25</v>
      </c>
      <c r="C27" s="7">
        <f>'2018 Current Revenue'!H27</f>
        <v>1521.8408333333334</v>
      </c>
      <c r="D27" s="7">
        <f>'2018 Proposed Revenue'!H27</f>
        <v>1965.1291666666668</v>
      </c>
      <c r="E27" s="7">
        <f t="shared" si="1"/>
        <v>3486.9700000000003</v>
      </c>
    </row>
    <row r="28" spans="1:5" x14ac:dyDescent="0.25">
      <c r="A28" t="s">
        <v>21</v>
      </c>
      <c r="B28" t="s">
        <v>25</v>
      </c>
      <c r="C28" s="7">
        <f>'2018 Current Revenue'!H28</f>
        <v>14137.695833333333</v>
      </c>
      <c r="D28" s="7">
        <f>'2018 Proposed Revenue'!H28</f>
        <v>18255.8</v>
      </c>
      <c r="E28" s="7">
        <f t="shared" si="1"/>
        <v>32393.495833333334</v>
      </c>
    </row>
    <row r="29" spans="1:5" x14ac:dyDescent="0.25">
      <c r="A29" t="s">
        <v>68</v>
      </c>
      <c r="C29" s="38">
        <f>'2018 Current Revenue'!H29</f>
        <v>9123362.9725000001</v>
      </c>
      <c r="D29" s="38">
        <f>'2018 Proposed Revenue'!H29</f>
        <v>11780863.745833334</v>
      </c>
      <c r="E29" s="38">
        <f t="shared" si="1"/>
        <v>20904226.718333334</v>
      </c>
    </row>
    <row r="30" spans="1:5" x14ac:dyDescent="0.25">
      <c r="A30" t="s">
        <v>69</v>
      </c>
      <c r="C30" s="7">
        <f>'2018 Current Revenue'!H30</f>
        <v>12808286.114166668</v>
      </c>
      <c r="D30" s="7">
        <f>'2018 Proposed Revenue'!H30</f>
        <v>9148775.7958333343</v>
      </c>
      <c r="E30" s="7">
        <f t="shared" si="1"/>
        <v>21957061.910000004</v>
      </c>
    </row>
    <row r="31" spans="1:5" x14ac:dyDescent="0.25">
      <c r="A31" t="s">
        <v>84</v>
      </c>
      <c r="C31" s="39">
        <f>'2018 Current Revenue'!H31</f>
        <v>-3684923.1416666699</v>
      </c>
      <c r="D31" s="39">
        <f>'2018 Proposed Revenue'!H31</f>
        <v>2632087.9499999993</v>
      </c>
      <c r="E31" s="39">
        <f t="shared" si="1"/>
        <v>-1052835.1916666706</v>
      </c>
    </row>
    <row r="33" spans="1:5" x14ac:dyDescent="0.25">
      <c r="A33" t="s">
        <v>85</v>
      </c>
      <c r="C33" s="39">
        <f>C15+C31</f>
        <v>-7484188.1041666688</v>
      </c>
      <c r="D33" s="39">
        <f>D15+D31</f>
        <v>5345848.6416666638</v>
      </c>
      <c r="E33" s="39">
        <f>E15+E31</f>
        <v>-2138339.462500005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P19"/>
  <sheetViews>
    <sheetView workbookViewId="0">
      <selection activeCell="P19" sqref="P19"/>
    </sheetView>
  </sheetViews>
  <sheetFormatPr defaultRowHeight="15" x14ac:dyDescent="0.25"/>
  <cols>
    <col min="2" max="2" width="10.85546875" bestFit="1" customWidth="1"/>
    <col min="4" max="4" width="11.140625" bestFit="1" customWidth="1"/>
    <col min="5" max="5" width="7" bestFit="1" customWidth="1"/>
    <col min="6" max="6" width="12.5703125" bestFit="1" customWidth="1"/>
    <col min="7" max="7" width="3.5703125" customWidth="1"/>
    <col min="8" max="8" width="11.140625" bestFit="1" customWidth="1"/>
    <col min="9" max="9" width="7" bestFit="1" customWidth="1"/>
    <col min="10" max="10" width="11.5703125" bestFit="1" customWidth="1"/>
    <col min="11" max="11" width="3.85546875" customWidth="1"/>
    <col min="12" max="12" width="11.140625" bestFit="1" customWidth="1"/>
    <col min="13" max="13" width="7" bestFit="1" customWidth="1"/>
    <col min="14" max="14" width="12.5703125" bestFit="1" customWidth="1"/>
    <col min="15" max="15" width="4.85546875" customWidth="1"/>
    <col min="16" max="16" width="16.140625" bestFit="1" customWidth="1"/>
  </cols>
  <sheetData>
    <row r="1" spans="2:16" ht="15.75" thickBot="1" x14ac:dyDescent="0.3"/>
    <row r="2" spans="2:16" x14ac:dyDescent="0.25">
      <c r="B2" t="s">
        <v>48</v>
      </c>
      <c r="D2" s="42" t="s">
        <v>34</v>
      </c>
      <c r="E2" s="43"/>
      <c r="F2" s="44"/>
      <c r="H2" s="45" t="s">
        <v>49</v>
      </c>
      <c r="I2" s="46"/>
      <c r="J2" s="46"/>
      <c r="K2" s="21"/>
      <c r="L2" s="46" t="s">
        <v>50</v>
      </c>
      <c r="M2" s="46"/>
      <c r="N2" s="46"/>
      <c r="O2" s="21"/>
      <c r="P2" s="22" t="s">
        <v>51</v>
      </c>
    </row>
    <row r="3" spans="2:16" x14ac:dyDescent="0.25">
      <c r="D3" s="23"/>
      <c r="E3" s="24"/>
      <c r="F3" s="25"/>
      <c r="H3" s="23"/>
      <c r="I3" s="24"/>
      <c r="J3" s="24"/>
      <c r="K3" s="24"/>
      <c r="L3" s="24"/>
      <c r="M3" s="24"/>
      <c r="N3" s="24"/>
      <c r="O3" s="24"/>
      <c r="P3" s="25"/>
    </row>
    <row r="4" spans="2:16" x14ac:dyDescent="0.25">
      <c r="B4" s="12" t="s">
        <v>52</v>
      </c>
      <c r="C4" s="12"/>
      <c r="D4" s="26" t="s">
        <v>53</v>
      </c>
      <c r="E4" s="27" t="s">
        <v>54</v>
      </c>
      <c r="F4" s="28" t="s">
        <v>55</v>
      </c>
      <c r="G4" s="12"/>
      <c r="H4" s="26" t="s">
        <v>53</v>
      </c>
      <c r="I4" s="27" t="s">
        <v>54</v>
      </c>
      <c r="J4" s="27" t="s">
        <v>55</v>
      </c>
      <c r="K4" s="27"/>
      <c r="L4" s="27" t="s">
        <v>53</v>
      </c>
      <c r="M4" s="27" t="s">
        <v>54</v>
      </c>
      <c r="N4" s="27" t="s">
        <v>55</v>
      </c>
      <c r="O4" s="27"/>
      <c r="P4" s="28" t="s">
        <v>55</v>
      </c>
    </row>
    <row r="5" spans="2:16" x14ac:dyDescent="0.25">
      <c r="D5" s="23"/>
      <c r="E5" s="24"/>
      <c r="F5" s="25"/>
      <c r="H5" s="23"/>
      <c r="I5" s="24"/>
      <c r="J5" s="24"/>
      <c r="K5" s="24"/>
      <c r="L5" s="24"/>
      <c r="M5" s="24"/>
      <c r="N5" s="24"/>
      <c r="O5" s="24"/>
      <c r="P5" s="25"/>
    </row>
    <row r="6" spans="2:16" x14ac:dyDescent="0.25">
      <c r="B6" t="s">
        <v>56</v>
      </c>
      <c r="D6" s="29">
        <v>488362</v>
      </c>
      <c r="E6" s="30">
        <v>3.61</v>
      </c>
      <c r="F6" s="33">
        <v>1762986.8199999998</v>
      </c>
      <c r="H6" s="29">
        <v>512691</v>
      </c>
      <c r="I6" s="30">
        <v>0.95</v>
      </c>
      <c r="J6" s="31">
        <v>487056.44999999995</v>
      </c>
      <c r="K6" s="24"/>
      <c r="L6" s="32">
        <v>512691</v>
      </c>
      <c r="M6" s="30">
        <v>2.34</v>
      </c>
      <c r="N6" s="31">
        <v>1199696.94</v>
      </c>
      <c r="O6" s="24"/>
      <c r="P6" s="33">
        <v>1686753.39</v>
      </c>
    </row>
    <row r="7" spans="2:16" x14ac:dyDescent="0.25">
      <c r="B7" t="s">
        <v>57</v>
      </c>
      <c r="D7" s="29">
        <v>476840</v>
      </c>
      <c r="E7" s="30">
        <v>3.61</v>
      </c>
      <c r="F7" s="33">
        <v>1721392.4</v>
      </c>
      <c r="H7" s="29">
        <v>490661</v>
      </c>
      <c r="I7" s="30">
        <v>0.95</v>
      </c>
      <c r="J7" s="31">
        <v>466127.94999999995</v>
      </c>
      <c r="K7" s="24"/>
      <c r="L7" s="32">
        <v>490661</v>
      </c>
      <c r="M7" s="30">
        <v>2.34</v>
      </c>
      <c r="N7" s="31">
        <v>1148146.74</v>
      </c>
      <c r="O7" s="24"/>
      <c r="P7" s="33">
        <v>1614274.69</v>
      </c>
    </row>
    <row r="8" spans="2:16" x14ac:dyDescent="0.25">
      <c r="B8" t="s">
        <v>58</v>
      </c>
      <c r="D8" s="29">
        <v>459850</v>
      </c>
      <c r="E8" s="30">
        <v>3.61</v>
      </c>
      <c r="F8" s="33">
        <v>1660058.5</v>
      </c>
      <c r="H8" s="29">
        <v>463331</v>
      </c>
      <c r="I8" s="30">
        <v>0.94999999999999984</v>
      </c>
      <c r="J8" s="31">
        <v>440164.44999999995</v>
      </c>
      <c r="K8" s="24"/>
      <c r="L8" s="32">
        <v>463331</v>
      </c>
      <c r="M8" s="30">
        <v>2.3400000000000003</v>
      </c>
      <c r="N8" s="31">
        <v>1084194.54</v>
      </c>
      <c r="O8" s="24"/>
      <c r="P8" s="33">
        <v>1524358.99</v>
      </c>
    </row>
    <row r="9" spans="2:16" x14ac:dyDescent="0.25">
      <c r="B9" t="s">
        <v>59</v>
      </c>
      <c r="D9" s="29">
        <v>430447</v>
      </c>
      <c r="E9" s="30">
        <v>3.61</v>
      </c>
      <c r="F9" s="33">
        <v>1553913.67</v>
      </c>
      <c r="H9" s="29">
        <v>533102</v>
      </c>
      <c r="I9" s="30">
        <v>0.95</v>
      </c>
      <c r="J9" s="31">
        <v>506446.89999999997</v>
      </c>
      <c r="K9" s="24"/>
      <c r="L9" s="32">
        <v>533102</v>
      </c>
      <c r="M9" s="30">
        <v>2.34</v>
      </c>
      <c r="N9" s="31">
        <v>1247458.68</v>
      </c>
      <c r="O9" s="24"/>
      <c r="P9" s="33">
        <v>1753905.5799999998</v>
      </c>
    </row>
    <row r="10" spans="2:16" x14ac:dyDescent="0.25">
      <c r="B10" t="s">
        <v>60</v>
      </c>
      <c r="D10" s="29">
        <v>526805</v>
      </c>
      <c r="E10" s="30">
        <v>3.61</v>
      </c>
      <c r="F10" s="33">
        <v>1901766.05</v>
      </c>
      <c r="H10" s="29">
        <v>580592</v>
      </c>
      <c r="I10" s="30">
        <v>0.95000000000000007</v>
      </c>
      <c r="J10" s="31">
        <v>551562.4</v>
      </c>
      <c r="K10" s="24"/>
      <c r="L10" s="32">
        <v>580592</v>
      </c>
      <c r="M10" s="30">
        <v>2.34</v>
      </c>
      <c r="N10" s="31">
        <v>1358585.28</v>
      </c>
      <c r="O10" s="24"/>
      <c r="P10" s="33">
        <v>1910147.6800000002</v>
      </c>
    </row>
    <row r="11" spans="2:16" x14ac:dyDescent="0.25">
      <c r="B11" t="s">
        <v>61</v>
      </c>
      <c r="D11" s="29">
        <v>619653</v>
      </c>
      <c r="E11" s="30">
        <v>3.6100000000000003</v>
      </c>
      <c r="F11" s="33">
        <v>2236947.33</v>
      </c>
      <c r="H11" s="29">
        <v>639152</v>
      </c>
      <c r="I11" s="30">
        <v>0.95000000000000007</v>
      </c>
      <c r="J11" s="31">
        <v>607194.4</v>
      </c>
      <c r="K11" s="24"/>
      <c r="L11" s="32">
        <v>639152</v>
      </c>
      <c r="M11" s="30">
        <v>2.34</v>
      </c>
      <c r="N11" s="31">
        <v>1495615.68</v>
      </c>
      <c r="O11" s="24"/>
      <c r="P11" s="33">
        <v>2102810.08</v>
      </c>
    </row>
    <row r="12" spans="2:16" x14ac:dyDescent="0.25">
      <c r="B12" t="s">
        <v>62</v>
      </c>
      <c r="D12" s="29">
        <v>622273</v>
      </c>
      <c r="E12" s="30">
        <v>3.61</v>
      </c>
      <c r="F12" s="33">
        <v>2246405.5299999998</v>
      </c>
      <c r="H12" s="29">
        <v>686235</v>
      </c>
      <c r="I12" s="30">
        <v>0.95</v>
      </c>
      <c r="J12" s="31">
        <v>651923.25</v>
      </c>
      <c r="K12" s="24"/>
      <c r="L12" s="32">
        <v>686235</v>
      </c>
      <c r="M12" s="30">
        <v>2.34</v>
      </c>
      <c r="N12" s="31">
        <v>1605789.9</v>
      </c>
      <c r="O12" s="24"/>
      <c r="P12" s="33">
        <v>2257713.15</v>
      </c>
    </row>
    <row r="13" spans="2:16" x14ac:dyDescent="0.25">
      <c r="B13" t="s">
        <v>63</v>
      </c>
      <c r="D13" s="29">
        <v>606980</v>
      </c>
      <c r="E13" s="30">
        <v>3.61</v>
      </c>
      <c r="F13" s="33">
        <v>2191197.7999999998</v>
      </c>
      <c r="H13" s="29">
        <v>672405</v>
      </c>
      <c r="I13" s="30">
        <v>0.95</v>
      </c>
      <c r="J13" s="31">
        <v>638784.75</v>
      </c>
      <c r="K13" s="24"/>
      <c r="L13" s="32">
        <v>672405</v>
      </c>
      <c r="M13" s="30">
        <v>2.34</v>
      </c>
      <c r="N13" s="31">
        <v>1573427.7</v>
      </c>
      <c r="O13" s="24"/>
      <c r="P13" s="33">
        <v>2212212.4500000002</v>
      </c>
    </row>
    <row r="14" spans="2:16" x14ac:dyDescent="0.25">
      <c r="B14" t="s">
        <v>64</v>
      </c>
      <c r="D14" s="29">
        <v>655274</v>
      </c>
      <c r="E14" s="30">
        <v>3.6100000000000003</v>
      </c>
      <c r="F14" s="33">
        <v>2365539.14</v>
      </c>
      <c r="H14" s="29">
        <v>677750</v>
      </c>
      <c r="I14" s="30">
        <v>0.95</v>
      </c>
      <c r="J14" s="31">
        <v>643862.5</v>
      </c>
      <c r="K14" s="24"/>
      <c r="L14" s="32">
        <v>677750</v>
      </c>
      <c r="M14" s="30">
        <v>2.34</v>
      </c>
      <c r="N14" s="31">
        <v>1585935</v>
      </c>
      <c r="O14" s="24"/>
      <c r="P14" s="33">
        <v>2229797.5</v>
      </c>
    </row>
    <row r="15" spans="2:16" x14ac:dyDescent="0.25">
      <c r="B15" t="s">
        <v>65</v>
      </c>
      <c r="D15" s="29">
        <v>416899</v>
      </c>
      <c r="E15" s="30">
        <v>3.61</v>
      </c>
      <c r="F15" s="33">
        <v>1505005.39</v>
      </c>
      <c r="H15" s="29">
        <v>457516</v>
      </c>
      <c r="I15" s="30">
        <v>0.94999999999999984</v>
      </c>
      <c r="J15" s="31">
        <v>434640.19999999995</v>
      </c>
      <c r="K15" s="24"/>
      <c r="L15" s="32">
        <v>457516</v>
      </c>
      <c r="M15" s="30">
        <v>2.34</v>
      </c>
      <c r="N15" s="31">
        <v>1070587.44</v>
      </c>
      <c r="O15" s="24"/>
      <c r="P15" s="33">
        <v>1505227.64</v>
      </c>
    </row>
    <row r="16" spans="2:16" x14ac:dyDescent="0.25">
      <c r="B16" t="s">
        <v>66</v>
      </c>
      <c r="D16" s="29">
        <v>447100</v>
      </c>
      <c r="E16" s="30">
        <v>3.61</v>
      </c>
      <c r="F16" s="33">
        <v>1614031</v>
      </c>
      <c r="H16" s="29">
        <v>456979</v>
      </c>
      <c r="I16" s="30">
        <v>0.95</v>
      </c>
      <c r="J16" s="31">
        <v>434130.05</v>
      </c>
      <c r="K16" s="24"/>
      <c r="L16" s="32">
        <v>456979</v>
      </c>
      <c r="M16" s="30">
        <v>2.34</v>
      </c>
      <c r="N16" s="31">
        <v>1069330.8599999999</v>
      </c>
      <c r="O16" s="24"/>
      <c r="P16" s="33">
        <v>1503460.91</v>
      </c>
    </row>
    <row r="17" spans="2:16" x14ac:dyDescent="0.25">
      <c r="B17" t="s">
        <v>67</v>
      </c>
      <c r="D17" s="29">
        <v>477081</v>
      </c>
      <c r="E17" s="30">
        <v>3.61</v>
      </c>
      <c r="F17" s="33">
        <v>1722262.41</v>
      </c>
      <c r="H17" s="29">
        <v>503465</v>
      </c>
      <c r="I17" s="30">
        <v>0.95</v>
      </c>
      <c r="J17" s="31">
        <v>478291.75</v>
      </c>
      <c r="K17" s="24"/>
      <c r="L17" s="32">
        <v>503465</v>
      </c>
      <c r="M17" s="30">
        <v>2.34</v>
      </c>
      <c r="N17" s="31">
        <v>1178108.0999999999</v>
      </c>
      <c r="O17" s="24"/>
      <c r="P17" s="33">
        <v>1656399.8499999999</v>
      </c>
    </row>
    <row r="18" spans="2:16" x14ac:dyDescent="0.25">
      <c r="D18" s="23"/>
      <c r="E18" s="24"/>
      <c r="F18" s="25"/>
      <c r="H18" s="23"/>
      <c r="I18" s="24"/>
      <c r="J18" s="24"/>
      <c r="K18" s="24"/>
      <c r="L18" s="24"/>
      <c r="M18" s="24"/>
      <c r="N18" s="24"/>
      <c r="O18" s="24"/>
      <c r="P18" s="33"/>
    </row>
    <row r="19" spans="2:16" ht="15.75" thickBot="1" x14ac:dyDescent="0.3">
      <c r="B19" t="s">
        <v>48</v>
      </c>
      <c r="D19" s="34">
        <v>6227564</v>
      </c>
      <c r="E19" s="19">
        <v>3.61</v>
      </c>
      <c r="F19" s="36">
        <v>22481506.039999999</v>
      </c>
      <c r="H19" s="34">
        <v>6673879</v>
      </c>
      <c r="I19" s="19">
        <v>0.95</v>
      </c>
      <c r="J19" s="20">
        <v>6340185.0499999998</v>
      </c>
      <c r="K19" s="35"/>
      <c r="L19" s="18">
        <v>6673879</v>
      </c>
      <c r="M19" s="19">
        <v>2.3399999999999994</v>
      </c>
      <c r="N19" s="20">
        <v>15616876.859999998</v>
      </c>
      <c r="O19" s="35"/>
      <c r="P19" s="36">
        <v>21957061.910000004</v>
      </c>
    </row>
  </sheetData>
  <mergeCells count="3">
    <mergeCell ref="D2:F2"/>
    <mergeCell ref="H2:J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2018 Full Orig</vt:lpstr>
      <vt:lpstr>2018 Full Corrected</vt:lpstr>
      <vt:lpstr>2018 Current Revenue</vt:lpstr>
      <vt:lpstr>2018 Proposed Revenue</vt:lpstr>
      <vt:lpstr>2018 Proposed Revenue Results</vt:lpstr>
      <vt:lpstr>2018 Wholesale 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2018-10-30T12:34:23Z</dcterms:created>
  <dcterms:modified xsi:type="dcterms:W3CDTF">2018-11-01T18:16:20Z</dcterms:modified>
</cp:coreProperties>
</file>