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2018 Mid-Term Rate App Update\1 Models\Working Models - 10. DRO\For Filing with OEB\"/>
    </mc:Choice>
  </mc:AlternateContent>
  <bookViews>
    <workbookView xWindow="0" yWindow="0" windowWidth="28800" windowHeight="13598"/>
  </bookViews>
  <sheets>
    <sheet name="DistRev&amp;COP&amp;LoadFcs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10" localSheetId="0">#REF!</definedName>
    <definedName name="_210">#REF!</definedName>
    <definedName name="_220" localSheetId="0">#REF!</definedName>
    <definedName name="_220">#REF!</definedName>
    <definedName name="_300" localSheetId="0">#REF!</definedName>
    <definedName name="_300">#REF!</definedName>
    <definedName name="_310" localSheetId="0">#REF!</definedName>
    <definedName name="_310">#REF!</definedName>
    <definedName name="_320" localSheetId="0">#REF!</definedName>
    <definedName name="_320">#REF!</definedName>
    <definedName name="_330" localSheetId="0">#REF!</definedName>
    <definedName name="_330">#REF!</definedName>
    <definedName name="_340" localSheetId="0">#REF!</definedName>
    <definedName name="_340">#REF!</definedName>
    <definedName name="_390" localSheetId="0">#REF!</definedName>
    <definedName name="_390">#REF!</definedName>
    <definedName name="_410" localSheetId="0">#REF!</definedName>
    <definedName name="_410">#REF!</definedName>
    <definedName name="_420" localSheetId="0">#REF!</definedName>
    <definedName name="_420">#REF!</definedName>
    <definedName name="_440" localSheetId="0">#REF!</definedName>
    <definedName name="_440">#REF!</definedName>
    <definedName name="_450" localSheetId="0">#REF!</definedName>
    <definedName name="_450">#REF!</definedName>
    <definedName name="_460" localSheetId="0">#REF!</definedName>
    <definedName name="_460">#REF!</definedName>
    <definedName name="_510" localSheetId="0">#REF!</definedName>
    <definedName name="_510">#REF!</definedName>
    <definedName name="_520" localSheetId="0">#REF!</definedName>
    <definedName name="_520">#REF!</definedName>
    <definedName name="_525" localSheetId="0">#REF!</definedName>
    <definedName name="_525">#REF!</definedName>
    <definedName name="_530" localSheetId="0">#REF!</definedName>
    <definedName name="_530">#REF!</definedName>
    <definedName name="_610" localSheetId="0">#REF!</definedName>
    <definedName name="_610">#REF!</definedName>
    <definedName name="_620" localSheetId="0">#REF!</definedName>
    <definedName name="_620">#REF!</definedName>
    <definedName name="_630" localSheetId="0">#REF!</definedName>
    <definedName name="_630">#REF!</definedName>
    <definedName name="_640" localSheetId="0">#REF!</definedName>
    <definedName name="_640">#REF!</definedName>
    <definedName name="_650" localSheetId="0">#REF!</definedName>
    <definedName name="_650">#REF!</definedName>
    <definedName name="_655" localSheetId="0">#REF!</definedName>
    <definedName name="_655">#REF!</definedName>
    <definedName name="_660" localSheetId="0">#REF!</definedName>
    <definedName name="_660">#REF!</definedName>
    <definedName name="_675" localSheetId="0">#REF!</definedName>
    <definedName name="_675">#REF!</definedName>
    <definedName name="_690" localSheetId="0">#REF!</definedName>
    <definedName name="_690">#REF!</definedName>
    <definedName name="_705" localSheetId="0">#REF!</definedName>
    <definedName name="_705">#REF!</definedName>
    <definedName name="_710" localSheetId="0">#REF!</definedName>
    <definedName name="_710">#REF!</definedName>
    <definedName name="_715" localSheetId="0">#REF!</definedName>
    <definedName name="_715">#REF!</definedName>
    <definedName name="_740" localSheetId="0">#REF!</definedName>
    <definedName name="_740">#REF!</definedName>
    <definedName name="_760" localSheetId="0">#REF!</definedName>
    <definedName name="_760">#REF!</definedName>
    <definedName name="_800" localSheetId="0">#REF!</definedName>
    <definedName name="_800">#REF!</definedName>
    <definedName name="_810" localSheetId="0">#REF!</definedName>
    <definedName name="_810">#REF!</definedName>
    <definedName name="_820" localSheetId="0">#REF!</definedName>
    <definedName name="_820">#REF!</definedName>
    <definedName name="_830" localSheetId="0">#REF!</definedName>
    <definedName name="_830">#REF!</definedName>
    <definedName name="Allocations">[2]Allocations!$A$4:$B$95</definedName>
    <definedName name="APR">[3]Data!$G:$H</definedName>
    <definedName name="AUG">[3]Data!$O:$P</definedName>
    <definedName name="BS" localSheetId="0">#REF!</definedName>
    <definedName name="BS">#REF!</definedName>
    <definedName name="ccar">'[4]I6.2 Customer Data'!$D$21</definedName>
    <definedName name="CF">[5]CashFlow!$J:$R</definedName>
    <definedName name="DaysInPreviousYear">'[6]Distribution Revenue by Source'!$B$22</definedName>
    <definedName name="DaysInYear">'[6]Distribution Revenue by Source'!$B$21</definedName>
    <definedName name="DEC">[3]Data!$W:$X</definedName>
    <definedName name="Departments">'[7]Assumptions 2013'!$B$51:$D$80</definedName>
    <definedName name="EBNUMBER">'[8]LDC Info'!$E$16</definedName>
    <definedName name="FEB">[3]Data!$C:$D</definedName>
    <definedName name="FixedAssets">'[9]Fixed Assets'!$A$2:$BH$53</definedName>
    <definedName name="JAN">[3]Data!$A:$B</definedName>
    <definedName name="JUL">[3]Data!$M:$N</definedName>
    <definedName name="JUN">[3]Data!$K:$L</definedName>
    <definedName name="listrem">'[7]Trial Balance New'!$A$1817:$A$3183</definedName>
    <definedName name="MAR">[3]Data!$E:$F</definedName>
    <definedName name="MAY">[3]Data!$I:$J</definedName>
    <definedName name="MofF" localSheetId="0">#REF!</definedName>
    <definedName name="MofF">#REF!</definedName>
    <definedName name="MonthlyPL2011" localSheetId="0">#REF!</definedName>
    <definedName name="MonthlyPL2011">#REF!</definedName>
    <definedName name="NOV">[3]Data!$U:$V</definedName>
    <definedName name="OCT">[3]Data!$S:$T</definedName>
    <definedName name="PLBud">'[5]P&amp;L v Bud'!$S:$AC</definedName>
    <definedName name="PLOct2011YTD" localSheetId="0">#REF!</definedName>
    <definedName name="PLOct2011YTD">#REF!</definedName>
    <definedName name="PLPYr">'[5]P&amp;L v PY'!$S:$AB</definedName>
    <definedName name="_xlnm.Print_Area" localSheetId="0">'DistRev&amp;COP&amp;LoadFcst '!$B$6:$AG$49</definedName>
    <definedName name="_xlnm.Print_Titles" localSheetId="0">'DistRev&amp;COP&amp;LoadFcst '!$1:$5</definedName>
    <definedName name="Profile_ClientName">'[10]Client Profile'!$C$2</definedName>
    <definedName name="Profile_Preparer">'[10]Client Profile'!$I$3</definedName>
    <definedName name="Profile_YearEnd">'[10]Client Profile'!$C$5</definedName>
    <definedName name="RateApp" localSheetId="0">#REF!</definedName>
    <definedName name="RateApp">#REF!</definedName>
    <definedName name="Ratebase">'[6]Distribution Revenue by Source'!$C$25</definedName>
    <definedName name="RevisedTBDec2nd" localSheetId="0">#REF!</definedName>
    <definedName name="RevisedTBDec2nd">#REF!</definedName>
    <definedName name="SEP">[3]Data!$Q:$R</definedName>
    <definedName name="Surtax" localSheetId="0">#REF!</definedName>
    <definedName name="Surtax">#REF!</definedName>
    <definedName name="TB" localSheetId="0">#REF!</definedName>
    <definedName name="TB">#REF!</definedName>
    <definedName name="toberomoved" localSheetId="0">'[7]Trial Balance New'!#REF!</definedName>
    <definedName name="toberomoved">'[7]Trial Balance New'!#REF!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3" i="1" l="1"/>
  <c r="BB354" i="1" s="1"/>
  <c r="AP350" i="1"/>
  <c r="AG350" i="1"/>
  <c r="AM350" i="1" s="1"/>
  <c r="AD350" i="1"/>
  <c r="AS346" i="1"/>
  <c r="AP346" i="1"/>
  <c r="AM346" i="1"/>
  <c r="AJ346" i="1"/>
  <c r="AS345" i="1"/>
  <c r="AP345" i="1"/>
  <c r="AM345" i="1"/>
  <c r="AJ345" i="1"/>
  <c r="AS344" i="1"/>
  <c r="AP344" i="1"/>
  <c r="AM344" i="1"/>
  <c r="AJ344" i="1"/>
  <c r="AS343" i="1"/>
  <c r="AP343" i="1"/>
  <c r="AM343" i="1"/>
  <c r="AJ343" i="1"/>
  <c r="AS342" i="1"/>
  <c r="AP342" i="1"/>
  <c r="AM342" i="1"/>
  <c r="AJ342" i="1"/>
  <c r="AS341" i="1"/>
  <c r="AP341" i="1"/>
  <c r="AM341" i="1"/>
  <c r="AJ341" i="1"/>
  <c r="AS340" i="1"/>
  <c r="AP340" i="1"/>
  <c r="AM340" i="1"/>
  <c r="AJ340" i="1"/>
  <c r="AS339" i="1"/>
  <c r="AP339" i="1"/>
  <c r="AM339" i="1"/>
  <c r="AJ339" i="1"/>
  <c r="F339" i="1"/>
  <c r="AS338" i="1"/>
  <c r="AP338" i="1"/>
  <c r="AM338" i="1"/>
  <c r="AJ338" i="1"/>
  <c r="F338" i="1"/>
  <c r="AS337" i="1"/>
  <c r="AP337" i="1"/>
  <c r="AM337" i="1"/>
  <c r="AJ337" i="1"/>
  <c r="F337" i="1"/>
  <c r="AS336" i="1"/>
  <c r="AP336" i="1"/>
  <c r="AM336" i="1"/>
  <c r="AJ336" i="1"/>
  <c r="F336" i="1"/>
  <c r="AS335" i="1"/>
  <c r="AP335" i="1"/>
  <c r="AM335" i="1"/>
  <c r="AJ335" i="1"/>
  <c r="F335" i="1"/>
  <c r="AS334" i="1"/>
  <c r="AP334" i="1"/>
  <c r="AM334" i="1"/>
  <c r="AJ334" i="1"/>
  <c r="F334" i="1"/>
  <c r="AS333" i="1"/>
  <c r="AP333" i="1"/>
  <c r="AM333" i="1"/>
  <c r="AJ333" i="1"/>
  <c r="F333" i="1"/>
  <c r="AS332" i="1"/>
  <c r="AP332" i="1"/>
  <c r="AM332" i="1"/>
  <c r="AJ332" i="1"/>
  <c r="F332" i="1"/>
  <c r="AS331" i="1"/>
  <c r="AP331" i="1"/>
  <c r="AM331" i="1"/>
  <c r="AJ331" i="1"/>
  <c r="AS330" i="1"/>
  <c r="AP330" i="1"/>
  <c r="AM330" i="1"/>
  <c r="AJ330" i="1"/>
  <c r="AS329" i="1"/>
  <c r="AP329" i="1"/>
  <c r="AM329" i="1"/>
  <c r="AJ329" i="1"/>
  <c r="F329" i="1"/>
  <c r="AS328" i="1"/>
  <c r="AP328" i="1"/>
  <c r="AM328" i="1"/>
  <c r="AJ328" i="1"/>
  <c r="F328" i="1"/>
  <c r="AS327" i="1"/>
  <c r="AP327" i="1"/>
  <c r="AM327" i="1"/>
  <c r="AJ327" i="1"/>
  <c r="F327" i="1"/>
  <c r="AS326" i="1"/>
  <c r="AP326" i="1"/>
  <c r="AM326" i="1"/>
  <c r="AJ326" i="1"/>
  <c r="F326" i="1"/>
  <c r="AS325" i="1"/>
  <c r="AP325" i="1"/>
  <c r="AM325" i="1"/>
  <c r="AJ325" i="1"/>
  <c r="F325" i="1"/>
  <c r="AS324" i="1"/>
  <c r="AP324" i="1"/>
  <c r="AM324" i="1"/>
  <c r="AJ324" i="1"/>
  <c r="F324" i="1"/>
  <c r="AS323" i="1"/>
  <c r="AP323" i="1"/>
  <c r="AM323" i="1"/>
  <c r="AJ323" i="1"/>
  <c r="F323" i="1"/>
  <c r="AS322" i="1"/>
  <c r="AP322" i="1"/>
  <c r="AM322" i="1"/>
  <c r="AJ322" i="1"/>
  <c r="F322" i="1"/>
  <c r="AS321" i="1"/>
  <c r="AP321" i="1"/>
  <c r="AM321" i="1"/>
  <c r="AJ321" i="1"/>
  <c r="AS320" i="1"/>
  <c r="AP320" i="1"/>
  <c r="AM320" i="1"/>
  <c r="AJ320" i="1"/>
  <c r="AS319" i="1"/>
  <c r="AP319" i="1"/>
  <c r="AM319" i="1"/>
  <c r="AJ319" i="1"/>
  <c r="F319" i="1"/>
  <c r="AS318" i="1"/>
  <c r="AP318" i="1"/>
  <c r="AM318" i="1"/>
  <c r="AJ318" i="1"/>
  <c r="F318" i="1"/>
  <c r="AS315" i="1"/>
  <c r="AP315" i="1"/>
  <c r="AM315" i="1"/>
  <c r="AJ315" i="1"/>
  <c r="AS314" i="1"/>
  <c r="AP314" i="1"/>
  <c r="AM314" i="1"/>
  <c r="AJ314" i="1"/>
  <c r="AS313" i="1"/>
  <c r="AP313" i="1"/>
  <c r="AM313" i="1"/>
  <c r="AJ313" i="1"/>
  <c r="AA309" i="1"/>
  <c r="X309" i="1"/>
  <c r="U309" i="1"/>
  <c r="R309" i="1"/>
  <c r="O309" i="1"/>
  <c r="F309" i="1"/>
  <c r="AC307" i="1"/>
  <c r="BE306" i="1"/>
  <c r="BD306" i="1"/>
  <c r="BD307" i="1" s="1"/>
  <c r="BE307" i="1" s="1"/>
  <c r="AF306" i="1"/>
  <c r="AF307" i="1" s="1"/>
  <c r="K302" i="1"/>
  <c r="AC301" i="1"/>
  <c r="AI301" i="1" s="1"/>
  <c r="O301" i="1"/>
  <c r="AC300" i="1"/>
  <c r="AO300" i="1" s="1"/>
  <c r="O300" i="1"/>
  <c r="AC299" i="1"/>
  <c r="AO299" i="1" s="1"/>
  <c r="O299" i="1"/>
  <c r="AI298" i="1"/>
  <c r="AC298" i="1"/>
  <c r="AO298" i="1" s="1"/>
  <c r="O298" i="1"/>
  <c r="AO297" i="1"/>
  <c r="AI297" i="1"/>
  <c r="AC297" i="1"/>
  <c r="O297" i="1"/>
  <c r="AO296" i="1"/>
  <c r="AI296" i="1"/>
  <c r="AC296" i="1"/>
  <c r="Q296" i="1"/>
  <c r="Q297" i="1" s="1"/>
  <c r="Q298" i="1" s="1"/>
  <c r="Q299" i="1" s="1"/>
  <c r="Q300" i="1" s="1"/>
  <c r="Q301" i="1" s="1"/>
  <c r="O296" i="1"/>
  <c r="AC295" i="1"/>
  <c r="AO295" i="1" s="1"/>
  <c r="Z295" i="1"/>
  <c r="Z296" i="1" s="1"/>
  <c r="Z297" i="1" s="1"/>
  <c r="Z298" i="1" s="1"/>
  <c r="Z299" i="1" s="1"/>
  <c r="Z300" i="1" s="1"/>
  <c r="Z301" i="1" s="1"/>
  <c r="T295" i="1"/>
  <c r="T296" i="1" s="1"/>
  <c r="T297" i="1" s="1"/>
  <c r="T298" i="1" s="1"/>
  <c r="T299" i="1" s="1"/>
  <c r="T300" i="1" s="1"/>
  <c r="T301" i="1" s="1"/>
  <c r="O295" i="1"/>
  <c r="K295" i="1"/>
  <c r="K296" i="1" s="1"/>
  <c r="K297" i="1" s="1"/>
  <c r="K298" i="1" s="1"/>
  <c r="K299" i="1" s="1"/>
  <c r="K300" i="1" s="1"/>
  <c r="K301" i="1" s="1"/>
  <c r="E295" i="1"/>
  <c r="AO294" i="1"/>
  <c r="AL294" i="1"/>
  <c r="AI294" i="1"/>
  <c r="AF294" i="1"/>
  <c r="Z294" i="1"/>
  <c r="W294" i="1"/>
  <c r="W295" i="1" s="1"/>
  <c r="W296" i="1" s="1"/>
  <c r="W297" i="1" s="1"/>
  <c r="W298" i="1" s="1"/>
  <c r="W299" i="1" s="1"/>
  <c r="W300" i="1" s="1"/>
  <c r="W301" i="1" s="1"/>
  <c r="Q294" i="1"/>
  <c r="Q295" i="1" s="1"/>
  <c r="O294" i="1"/>
  <c r="H294" i="1"/>
  <c r="H295" i="1" s="1"/>
  <c r="H296" i="1" s="1"/>
  <c r="H297" i="1" s="1"/>
  <c r="H298" i="1" s="1"/>
  <c r="H299" i="1" s="1"/>
  <c r="H300" i="1" s="1"/>
  <c r="H301" i="1" s="1"/>
  <c r="F294" i="1"/>
  <c r="K291" i="1"/>
  <c r="Q290" i="1"/>
  <c r="O290" i="1"/>
  <c r="AC289" i="1"/>
  <c r="AI289" i="1" s="1"/>
  <c r="Q289" i="1"/>
  <c r="O289" i="1"/>
  <c r="AC288" i="1"/>
  <c r="AO288" i="1" s="1"/>
  <c r="Q288" i="1"/>
  <c r="O288" i="1"/>
  <c r="AO287" i="1"/>
  <c r="AI287" i="1"/>
  <c r="AF287" i="1"/>
  <c r="Q287" i="1"/>
  <c r="O287" i="1"/>
  <c r="AC286" i="1"/>
  <c r="AO286" i="1" s="1"/>
  <c r="Q286" i="1"/>
  <c r="O286" i="1"/>
  <c r="E286" i="1"/>
  <c r="AI285" i="1"/>
  <c r="AC285" i="1"/>
  <c r="AO285" i="1" s="1"/>
  <c r="Q285" i="1"/>
  <c r="O285" i="1"/>
  <c r="F285" i="1"/>
  <c r="E285" i="1"/>
  <c r="AC284" i="1"/>
  <c r="AI284" i="1" s="1"/>
  <c r="Q284" i="1"/>
  <c r="O284" i="1"/>
  <c r="K284" i="1"/>
  <c r="K285" i="1" s="1"/>
  <c r="K286" i="1" s="1"/>
  <c r="K287" i="1" s="1"/>
  <c r="K288" i="1" s="1"/>
  <c r="K289" i="1" s="1"/>
  <c r="K290" i="1" s="1"/>
  <c r="H284" i="1"/>
  <c r="H285" i="1" s="1"/>
  <c r="H286" i="1" s="1"/>
  <c r="H287" i="1" s="1"/>
  <c r="H288" i="1" s="1"/>
  <c r="H289" i="1" s="1"/>
  <c r="H290" i="1" s="1"/>
  <c r="F284" i="1"/>
  <c r="E284" i="1"/>
  <c r="AL283" i="1"/>
  <c r="AF283" i="1"/>
  <c r="AF286" i="1" s="1"/>
  <c r="AC283" i="1"/>
  <c r="AC290" i="1" s="1"/>
  <c r="T283" i="1"/>
  <c r="R283" i="1"/>
  <c r="Q283" i="1"/>
  <c r="O283" i="1"/>
  <c r="O291" i="1" s="1"/>
  <c r="F283" i="1"/>
  <c r="AF280" i="1"/>
  <c r="K280" i="1"/>
  <c r="AO279" i="1"/>
  <c r="AI279" i="1"/>
  <c r="AF279" i="1"/>
  <c r="AR279" i="1" s="1"/>
  <c r="T279" i="1"/>
  <c r="W279" i="1" s="1"/>
  <c r="Z279" i="1" s="1"/>
  <c r="R279" i="1"/>
  <c r="Q279" i="1"/>
  <c r="O279" i="1"/>
  <c r="F279" i="1"/>
  <c r="AO278" i="1"/>
  <c r="AI278" i="1"/>
  <c r="AF278" i="1"/>
  <c r="AR278" i="1" s="1"/>
  <c r="Q278" i="1"/>
  <c r="T278" i="1" s="1"/>
  <c r="W278" i="1" s="1"/>
  <c r="Z278" i="1" s="1"/>
  <c r="O278" i="1"/>
  <c r="F278" i="1"/>
  <c r="AO277" i="1"/>
  <c r="AI277" i="1"/>
  <c r="AF277" i="1"/>
  <c r="AL277" i="1" s="1"/>
  <c r="T277" i="1"/>
  <c r="W277" i="1" s="1"/>
  <c r="Z277" i="1" s="1"/>
  <c r="R277" i="1"/>
  <c r="Q277" i="1"/>
  <c r="O277" i="1"/>
  <c r="F277" i="1"/>
  <c r="AO276" i="1"/>
  <c r="AI276" i="1"/>
  <c r="AF276" i="1"/>
  <c r="AR276" i="1" s="1"/>
  <c r="Q276" i="1"/>
  <c r="T276" i="1" s="1"/>
  <c r="W276" i="1" s="1"/>
  <c r="Z276" i="1" s="1"/>
  <c r="O276" i="1"/>
  <c r="F276" i="1"/>
  <c r="AO275" i="1"/>
  <c r="AI275" i="1"/>
  <c r="AF275" i="1"/>
  <c r="AR275" i="1" s="1"/>
  <c r="Q275" i="1"/>
  <c r="T275" i="1" s="1"/>
  <c r="W275" i="1" s="1"/>
  <c r="Z275" i="1" s="1"/>
  <c r="O275" i="1"/>
  <c r="F275" i="1"/>
  <c r="AO274" i="1"/>
  <c r="AI274" i="1"/>
  <c r="AF274" i="1"/>
  <c r="AR274" i="1" s="1"/>
  <c r="T274" i="1"/>
  <c r="W274" i="1" s="1"/>
  <c r="Z274" i="1" s="1"/>
  <c r="R274" i="1"/>
  <c r="Q274" i="1"/>
  <c r="O274" i="1"/>
  <c r="F274" i="1"/>
  <c r="AO273" i="1"/>
  <c r="AI273" i="1"/>
  <c r="AF273" i="1"/>
  <c r="AR273" i="1" s="1"/>
  <c r="T273" i="1"/>
  <c r="W273" i="1" s="1"/>
  <c r="Z273" i="1" s="1"/>
  <c r="Q273" i="1"/>
  <c r="O273" i="1"/>
  <c r="F273" i="1"/>
  <c r="AO272" i="1"/>
  <c r="AI272" i="1"/>
  <c r="AF272" i="1"/>
  <c r="AR272" i="1" s="1"/>
  <c r="Q272" i="1"/>
  <c r="T272" i="1" s="1"/>
  <c r="W272" i="1" s="1"/>
  <c r="Z272" i="1" s="1"/>
  <c r="O272" i="1"/>
  <c r="O280" i="1" s="1"/>
  <c r="F272" i="1"/>
  <c r="F280" i="1" s="1"/>
  <c r="AF269" i="1"/>
  <c r="K269" i="1"/>
  <c r="AO268" i="1"/>
  <c r="AI268" i="1"/>
  <c r="AF268" i="1"/>
  <c r="AR268" i="1" s="1"/>
  <c r="Q268" i="1"/>
  <c r="T268" i="1" s="1"/>
  <c r="W268" i="1" s="1"/>
  <c r="Z268" i="1" s="1"/>
  <c r="O268" i="1"/>
  <c r="F268" i="1"/>
  <c r="AO267" i="1"/>
  <c r="AI267" i="1"/>
  <c r="AF267" i="1"/>
  <c r="AR267" i="1" s="1"/>
  <c r="Q267" i="1"/>
  <c r="T267" i="1" s="1"/>
  <c r="W267" i="1" s="1"/>
  <c r="Z267" i="1" s="1"/>
  <c r="O267" i="1"/>
  <c r="F267" i="1"/>
  <c r="AO266" i="1"/>
  <c r="AI266" i="1"/>
  <c r="AF266" i="1"/>
  <c r="AR266" i="1" s="1"/>
  <c r="R266" i="1"/>
  <c r="Q266" i="1"/>
  <c r="T266" i="1" s="1"/>
  <c r="W266" i="1" s="1"/>
  <c r="Z266" i="1" s="1"/>
  <c r="O266" i="1"/>
  <c r="F266" i="1"/>
  <c r="AO265" i="1"/>
  <c r="AI265" i="1"/>
  <c r="AF265" i="1"/>
  <c r="AR265" i="1" s="1"/>
  <c r="T265" i="1"/>
  <c r="W265" i="1" s="1"/>
  <c r="Z265" i="1" s="1"/>
  <c r="R265" i="1"/>
  <c r="Q265" i="1"/>
  <c r="O265" i="1"/>
  <c r="F265" i="1"/>
  <c r="AO264" i="1"/>
  <c r="AI264" i="1"/>
  <c r="AF264" i="1"/>
  <c r="AR264" i="1" s="1"/>
  <c r="Q264" i="1"/>
  <c r="T264" i="1" s="1"/>
  <c r="W264" i="1" s="1"/>
  <c r="Z264" i="1" s="1"/>
  <c r="O264" i="1"/>
  <c r="F264" i="1"/>
  <c r="AO263" i="1"/>
  <c r="AI263" i="1"/>
  <c r="AF263" i="1"/>
  <c r="AR263" i="1" s="1"/>
  <c r="Q263" i="1"/>
  <c r="T263" i="1" s="1"/>
  <c r="W263" i="1" s="1"/>
  <c r="Z263" i="1" s="1"/>
  <c r="O263" i="1"/>
  <c r="F263" i="1"/>
  <c r="AO262" i="1"/>
  <c r="AI262" i="1"/>
  <c r="AF262" i="1"/>
  <c r="AR262" i="1" s="1"/>
  <c r="T262" i="1"/>
  <c r="W262" i="1" s="1"/>
  <c r="Z262" i="1" s="1"/>
  <c r="Q262" i="1"/>
  <c r="O262" i="1"/>
  <c r="F262" i="1"/>
  <c r="AO261" i="1"/>
  <c r="AI261" i="1"/>
  <c r="AF261" i="1"/>
  <c r="AR261" i="1" s="1"/>
  <c r="T261" i="1"/>
  <c r="W261" i="1" s="1"/>
  <c r="Z261" i="1" s="1"/>
  <c r="R261" i="1"/>
  <c r="Q261" i="1"/>
  <c r="O261" i="1"/>
  <c r="O269" i="1" s="1"/>
  <c r="F261" i="1"/>
  <c r="F269" i="1" s="1"/>
  <c r="O259" i="1"/>
  <c r="AF258" i="1"/>
  <c r="AR258" i="1" s="1"/>
  <c r="AC258" i="1"/>
  <c r="AO258" i="1" s="1"/>
  <c r="Z258" i="1"/>
  <c r="W258" i="1"/>
  <c r="T258" i="1"/>
  <c r="K258" i="1"/>
  <c r="T257" i="1"/>
  <c r="O257" i="1"/>
  <c r="K257" i="1"/>
  <c r="H257" i="1"/>
  <c r="F257" i="1"/>
  <c r="T256" i="1"/>
  <c r="O256" i="1"/>
  <c r="K256" i="1"/>
  <c r="H256" i="1"/>
  <c r="F256" i="1"/>
  <c r="T255" i="1"/>
  <c r="O255" i="1"/>
  <c r="K255" i="1"/>
  <c r="H255" i="1"/>
  <c r="F255" i="1"/>
  <c r="AO254" i="1"/>
  <c r="AC254" i="1"/>
  <c r="AC255" i="1" s="1"/>
  <c r="F254" i="1"/>
  <c r="AO253" i="1"/>
  <c r="AI253" i="1"/>
  <c r="AF253" i="1"/>
  <c r="AF254" i="1" s="1"/>
  <c r="T253" i="1"/>
  <c r="O253" i="1"/>
  <c r="K253" i="1"/>
  <c r="Q253" i="1" s="1"/>
  <c r="Q254" i="1" s="1"/>
  <c r="H253" i="1"/>
  <c r="F253" i="1"/>
  <c r="AO252" i="1"/>
  <c r="AI252" i="1"/>
  <c r="AF252" i="1"/>
  <c r="AR252" i="1" s="1"/>
  <c r="T252" i="1"/>
  <c r="O252" i="1"/>
  <c r="K252" i="1"/>
  <c r="Q252" i="1" s="1"/>
  <c r="H252" i="1"/>
  <c r="F252" i="1"/>
  <c r="AC251" i="1"/>
  <c r="AO251" i="1" s="1"/>
  <c r="T251" i="1"/>
  <c r="T254" i="1" s="1"/>
  <c r="K251" i="1"/>
  <c r="Q251" i="1" s="1"/>
  <c r="H251" i="1"/>
  <c r="F251" i="1"/>
  <c r="AO250" i="1"/>
  <c r="AI250" i="1"/>
  <c r="AF250" i="1"/>
  <c r="AF251" i="1" s="1"/>
  <c r="F250" i="1"/>
  <c r="F258" i="1" s="1"/>
  <c r="AF247" i="1"/>
  <c r="AR247" i="1" s="1"/>
  <c r="AC247" i="1"/>
  <c r="AO247" i="1" s="1"/>
  <c r="Z247" i="1"/>
  <c r="W247" i="1"/>
  <c r="W250" i="1" s="1"/>
  <c r="T247" i="1"/>
  <c r="K247" i="1"/>
  <c r="T246" i="1"/>
  <c r="O246" i="1"/>
  <c r="K246" i="1"/>
  <c r="T245" i="1"/>
  <c r="O245" i="1"/>
  <c r="K245" i="1"/>
  <c r="T244" i="1"/>
  <c r="O244" i="1"/>
  <c r="K244" i="1"/>
  <c r="T243" i="1"/>
  <c r="O243" i="1"/>
  <c r="K243" i="1"/>
  <c r="T242" i="1"/>
  <c r="O242" i="1"/>
  <c r="K242" i="1"/>
  <c r="T241" i="1"/>
  <c r="O241" i="1"/>
  <c r="K241" i="1"/>
  <c r="T240" i="1"/>
  <c r="K240" i="1"/>
  <c r="H240" i="1"/>
  <c r="H241" i="1" s="1"/>
  <c r="H242" i="1" s="1"/>
  <c r="H243" i="1" s="1"/>
  <c r="H244" i="1" s="1"/>
  <c r="H245" i="1" s="1"/>
  <c r="H246" i="1" s="1"/>
  <c r="E240" i="1"/>
  <c r="E241" i="1" s="1"/>
  <c r="AC239" i="1"/>
  <c r="AC245" i="1" s="1"/>
  <c r="W239" i="1"/>
  <c r="W245" i="1" s="1"/>
  <c r="Q239" i="1"/>
  <c r="Q240" i="1" s="1"/>
  <c r="Q241" i="1" s="1"/>
  <c r="Q242" i="1" s="1"/>
  <c r="Q243" i="1" s="1"/>
  <c r="Q244" i="1" s="1"/>
  <c r="Q245" i="1" s="1"/>
  <c r="Q246" i="1" s="1"/>
  <c r="AR236" i="1"/>
  <c r="AO236" i="1"/>
  <c r="AL236" i="1"/>
  <c r="AI236" i="1"/>
  <c r="Q236" i="1"/>
  <c r="Q258" i="1" s="1"/>
  <c r="K236" i="1"/>
  <c r="AC235" i="1"/>
  <c r="AO235" i="1" s="1"/>
  <c r="W235" i="1"/>
  <c r="Z235" i="1" s="1"/>
  <c r="T235" i="1"/>
  <c r="O235" i="1"/>
  <c r="AC234" i="1"/>
  <c r="AO234" i="1" s="1"/>
  <c r="T234" i="1"/>
  <c r="W234" i="1" s="1"/>
  <c r="Z234" i="1" s="1"/>
  <c r="O234" i="1"/>
  <c r="AC233" i="1"/>
  <c r="AO233" i="1" s="1"/>
  <c r="W233" i="1"/>
  <c r="Z233" i="1" s="1"/>
  <c r="T233" i="1"/>
  <c r="O233" i="1"/>
  <c r="AC232" i="1"/>
  <c r="AO232" i="1" s="1"/>
  <c r="T232" i="1"/>
  <c r="W232" i="1" s="1"/>
  <c r="Z232" i="1" s="1"/>
  <c r="O232" i="1"/>
  <c r="AC231" i="1"/>
  <c r="AO231" i="1" s="1"/>
  <c r="T231" i="1"/>
  <c r="W231" i="1" s="1"/>
  <c r="Z231" i="1" s="1"/>
  <c r="O231" i="1"/>
  <c r="AC230" i="1"/>
  <c r="AO230" i="1" s="1"/>
  <c r="W230" i="1"/>
  <c r="Z230" i="1" s="1"/>
  <c r="T230" i="1"/>
  <c r="Q230" i="1"/>
  <c r="Q231" i="1" s="1"/>
  <c r="Q232" i="1" s="1"/>
  <c r="Q233" i="1" s="1"/>
  <c r="Q234" i="1" s="1"/>
  <c r="Q235" i="1" s="1"/>
  <c r="O230" i="1"/>
  <c r="AC229" i="1"/>
  <c r="AO229" i="1" s="1"/>
  <c r="W229" i="1"/>
  <c r="Z229" i="1" s="1"/>
  <c r="T229" i="1"/>
  <c r="Q229" i="1"/>
  <c r="O229" i="1"/>
  <c r="K229" i="1"/>
  <c r="K230" i="1" s="1"/>
  <c r="K231" i="1" s="1"/>
  <c r="K232" i="1" s="1"/>
  <c r="K233" i="1" s="1"/>
  <c r="K234" i="1" s="1"/>
  <c r="K235" i="1" s="1"/>
  <c r="H229" i="1"/>
  <c r="H230" i="1" s="1"/>
  <c r="H231" i="1" s="1"/>
  <c r="H232" i="1" s="1"/>
  <c r="H233" i="1" s="1"/>
  <c r="H234" i="1" s="1"/>
  <c r="H235" i="1" s="1"/>
  <c r="F229" i="1"/>
  <c r="E229" i="1"/>
  <c r="E230" i="1" s="1"/>
  <c r="AO228" i="1"/>
  <c r="AI228" i="1"/>
  <c r="AF228" i="1"/>
  <c r="AF231" i="1" s="1"/>
  <c r="W228" i="1"/>
  <c r="Z228" i="1" s="1"/>
  <c r="R228" i="1"/>
  <c r="O228" i="1"/>
  <c r="O236" i="1" s="1"/>
  <c r="F228" i="1"/>
  <c r="AS225" i="1"/>
  <c r="AP225" i="1"/>
  <c r="AO225" i="1"/>
  <c r="AM225" i="1"/>
  <c r="AJ225" i="1"/>
  <c r="AI225" i="1"/>
  <c r="AF225" i="1"/>
  <c r="AR225" i="1" s="1"/>
  <c r="AC225" i="1"/>
  <c r="Z225" i="1"/>
  <c r="W225" i="1"/>
  <c r="T225" i="1"/>
  <c r="Q225" i="1"/>
  <c r="N225" i="1"/>
  <c r="K225" i="1"/>
  <c r="H225" i="1"/>
  <c r="E225" i="1"/>
  <c r="AS224" i="1"/>
  <c r="AP224" i="1"/>
  <c r="AM224" i="1"/>
  <c r="AL224" i="1"/>
  <c r="AJ224" i="1"/>
  <c r="AF224" i="1"/>
  <c r="AR224" i="1" s="1"/>
  <c r="AC224" i="1"/>
  <c r="Z224" i="1"/>
  <c r="W224" i="1"/>
  <c r="T224" i="1"/>
  <c r="Q224" i="1"/>
  <c r="N224" i="1"/>
  <c r="K224" i="1"/>
  <c r="H224" i="1"/>
  <c r="E224" i="1"/>
  <c r="F240" i="1" s="1"/>
  <c r="AS223" i="1"/>
  <c r="AP223" i="1"/>
  <c r="AO223" i="1"/>
  <c r="AM223" i="1"/>
  <c r="AJ223" i="1"/>
  <c r="AI223" i="1"/>
  <c r="AF223" i="1"/>
  <c r="AR223" i="1" s="1"/>
  <c r="AC223" i="1"/>
  <c r="Z223" i="1"/>
  <c r="W223" i="1"/>
  <c r="T223" i="1"/>
  <c r="Q223" i="1"/>
  <c r="R239" i="1" s="1"/>
  <c r="N223" i="1"/>
  <c r="K223" i="1"/>
  <c r="H223" i="1"/>
  <c r="E223" i="1"/>
  <c r="F239" i="1" s="1"/>
  <c r="U220" i="1"/>
  <c r="X220" i="1" s="1"/>
  <c r="AA220" i="1" s="1"/>
  <c r="R220" i="1"/>
  <c r="X219" i="1"/>
  <c r="AA219" i="1" s="1"/>
  <c r="U219" i="1"/>
  <c r="R219" i="1"/>
  <c r="AD218" i="1"/>
  <c r="U218" i="1"/>
  <c r="X218" i="1" s="1"/>
  <c r="AA218" i="1" s="1"/>
  <c r="R218" i="1"/>
  <c r="R217" i="1"/>
  <c r="R232" i="1" s="1"/>
  <c r="U216" i="1"/>
  <c r="X216" i="1" s="1"/>
  <c r="AA216" i="1" s="1"/>
  <c r="R216" i="1"/>
  <c r="X215" i="1"/>
  <c r="AA215" i="1" s="1"/>
  <c r="U215" i="1"/>
  <c r="R215" i="1"/>
  <c r="U214" i="1"/>
  <c r="X214" i="1" s="1"/>
  <c r="AA214" i="1" s="1"/>
  <c r="R214" i="1"/>
  <c r="AJ213" i="1"/>
  <c r="X213" i="1"/>
  <c r="AA213" i="1" s="1"/>
  <c r="AD213" i="1" s="1"/>
  <c r="AD220" i="1" s="1"/>
  <c r="I209" i="1"/>
  <c r="O206" i="1"/>
  <c r="F206" i="1"/>
  <c r="O205" i="1"/>
  <c r="F205" i="1"/>
  <c r="O204" i="1"/>
  <c r="F203" i="1"/>
  <c r="F196" i="1"/>
  <c r="F195" i="1"/>
  <c r="F194" i="1"/>
  <c r="K193" i="1"/>
  <c r="F193" i="1"/>
  <c r="L192" i="1"/>
  <c r="I192" i="1"/>
  <c r="F192" i="1"/>
  <c r="O191" i="1"/>
  <c r="F191" i="1"/>
  <c r="L197" i="1"/>
  <c r="F190" i="1"/>
  <c r="K189" i="1"/>
  <c r="F189" i="1"/>
  <c r="F197" i="1" s="1"/>
  <c r="Q185" i="1"/>
  <c r="F185" i="1"/>
  <c r="K184" i="1"/>
  <c r="I184" i="1"/>
  <c r="AR183" i="1"/>
  <c r="AP183" i="1"/>
  <c r="AO183" i="1"/>
  <c r="AL183" i="1"/>
  <c r="AJ183" i="1"/>
  <c r="AI183" i="1"/>
  <c r="AG183" i="1"/>
  <c r="AS183" i="1" s="1"/>
  <c r="AD183" i="1"/>
  <c r="AA183" i="1"/>
  <c r="X183" i="1"/>
  <c r="U183" i="1"/>
  <c r="O183" i="1"/>
  <c r="L183" i="1"/>
  <c r="K195" i="1" s="1"/>
  <c r="K182" i="1"/>
  <c r="K185" i="1" s="1"/>
  <c r="I182" i="1"/>
  <c r="I185" i="1" s="1"/>
  <c r="H182" i="1"/>
  <c r="AR181" i="1"/>
  <c r="AP181" i="1"/>
  <c r="AO181" i="1"/>
  <c r="AL181" i="1"/>
  <c r="AJ181" i="1"/>
  <c r="AI181" i="1"/>
  <c r="AG181" i="1"/>
  <c r="AS181" i="1" s="1"/>
  <c r="AD181" i="1"/>
  <c r="AA181" i="1"/>
  <c r="X181" i="1"/>
  <c r="U181" i="1"/>
  <c r="O181" i="1"/>
  <c r="L181" i="1"/>
  <c r="AR180" i="1"/>
  <c r="AP180" i="1"/>
  <c r="AO180" i="1"/>
  <c r="AL180" i="1"/>
  <c r="AJ180" i="1"/>
  <c r="AI180" i="1"/>
  <c r="AG180" i="1"/>
  <c r="AS180" i="1" s="1"/>
  <c r="AD180" i="1"/>
  <c r="AA180" i="1"/>
  <c r="X180" i="1"/>
  <c r="U180" i="1"/>
  <c r="O180" i="1"/>
  <c r="L180" i="1"/>
  <c r="K192" i="1" s="1"/>
  <c r="T179" i="1"/>
  <c r="U179" i="1" s="1"/>
  <c r="R179" i="1"/>
  <c r="O179" i="1"/>
  <c r="N179" i="1"/>
  <c r="L179" i="1"/>
  <c r="W178" i="1"/>
  <c r="X178" i="1" s="1"/>
  <c r="U178" i="1"/>
  <c r="T178" i="1"/>
  <c r="N178" i="1"/>
  <c r="O178" i="1" s="1"/>
  <c r="L178" i="1"/>
  <c r="K190" i="1" s="1"/>
  <c r="T177" i="1"/>
  <c r="U177" i="1" s="1"/>
  <c r="R177" i="1"/>
  <c r="O177" i="1"/>
  <c r="O189" i="1" s="1"/>
  <c r="N177" i="1"/>
  <c r="L177" i="1"/>
  <c r="L171" i="1"/>
  <c r="AR162" i="1"/>
  <c r="AO162" i="1"/>
  <c r="AL162" i="1"/>
  <c r="AI162" i="1"/>
  <c r="R162" i="1"/>
  <c r="R172" i="1" s="1"/>
  <c r="O162" i="1"/>
  <c r="O172" i="1" s="1"/>
  <c r="L162" i="1"/>
  <c r="I162" i="1"/>
  <c r="AR161" i="1"/>
  <c r="AO161" i="1"/>
  <c r="AL161" i="1"/>
  <c r="AI161" i="1"/>
  <c r="R161" i="1"/>
  <c r="O161" i="1"/>
  <c r="L161" i="1"/>
  <c r="I161" i="1"/>
  <c r="AR160" i="1"/>
  <c r="AO160" i="1"/>
  <c r="AL160" i="1"/>
  <c r="AI160" i="1"/>
  <c r="R160" i="1"/>
  <c r="R170" i="1" s="1"/>
  <c r="O160" i="1"/>
  <c r="O170" i="1" s="1"/>
  <c r="L160" i="1"/>
  <c r="I160" i="1"/>
  <c r="Q159" i="1"/>
  <c r="O159" i="1"/>
  <c r="N159" i="1"/>
  <c r="K159" i="1"/>
  <c r="I159" i="1"/>
  <c r="H159" i="1"/>
  <c r="AR158" i="1"/>
  <c r="AO158" i="1"/>
  <c r="AL158" i="1"/>
  <c r="AI158" i="1"/>
  <c r="R158" i="1"/>
  <c r="O158" i="1"/>
  <c r="L158" i="1"/>
  <c r="L168" i="1" s="1"/>
  <c r="I158" i="1"/>
  <c r="N157" i="1"/>
  <c r="O157" i="1" s="1"/>
  <c r="E157" i="1"/>
  <c r="AR156" i="1"/>
  <c r="AO156" i="1"/>
  <c r="AL156" i="1"/>
  <c r="AI156" i="1"/>
  <c r="R156" i="1"/>
  <c r="R166" i="1" s="1"/>
  <c r="O156" i="1"/>
  <c r="O166" i="1" s="1"/>
  <c r="L156" i="1"/>
  <c r="L166" i="1" s="1"/>
  <c r="I156" i="1"/>
  <c r="AR155" i="1"/>
  <c r="AO155" i="1"/>
  <c r="AL155" i="1"/>
  <c r="AI155" i="1"/>
  <c r="R155" i="1"/>
  <c r="R165" i="1" s="1"/>
  <c r="O155" i="1"/>
  <c r="L155" i="1"/>
  <c r="L165" i="1" s="1"/>
  <c r="I155" i="1"/>
  <c r="AF137" i="1"/>
  <c r="AR137" i="1" s="1"/>
  <c r="AC137" i="1"/>
  <c r="AI137" i="1" s="1"/>
  <c r="Z137" i="1"/>
  <c r="AR136" i="1"/>
  <c r="AO136" i="1"/>
  <c r="AL136" i="1"/>
  <c r="AI136" i="1"/>
  <c r="O136" i="1"/>
  <c r="N136" i="1" s="1"/>
  <c r="L136" i="1"/>
  <c r="K136" i="1" s="1"/>
  <c r="I136" i="1"/>
  <c r="AR135" i="1"/>
  <c r="AO135" i="1"/>
  <c r="AL135" i="1"/>
  <c r="AI135" i="1"/>
  <c r="O135" i="1"/>
  <c r="N135" i="1"/>
  <c r="L135" i="1"/>
  <c r="K135" i="1" s="1"/>
  <c r="I135" i="1"/>
  <c r="AR134" i="1"/>
  <c r="AO134" i="1"/>
  <c r="AL134" i="1"/>
  <c r="AI134" i="1"/>
  <c r="O134" i="1"/>
  <c r="N134" i="1" s="1"/>
  <c r="AR133" i="1"/>
  <c r="AO133" i="1"/>
  <c r="AL133" i="1"/>
  <c r="AI133" i="1"/>
  <c r="O133" i="1"/>
  <c r="L133" i="1"/>
  <c r="I133" i="1"/>
  <c r="AR132" i="1"/>
  <c r="AO132" i="1"/>
  <c r="AL132" i="1"/>
  <c r="AI132" i="1"/>
  <c r="O132" i="1"/>
  <c r="L132" i="1"/>
  <c r="I132" i="1"/>
  <c r="AR131" i="1"/>
  <c r="AO131" i="1"/>
  <c r="AL131" i="1"/>
  <c r="AI131" i="1"/>
  <c r="O131" i="1"/>
  <c r="AR130" i="1"/>
  <c r="AO130" i="1"/>
  <c r="AL130" i="1"/>
  <c r="AI130" i="1"/>
  <c r="O130" i="1"/>
  <c r="N130" i="1" s="1"/>
  <c r="L130" i="1"/>
  <c r="K130" i="1" s="1"/>
  <c r="I130" i="1"/>
  <c r="AR129" i="1"/>
  <c r="AO129" i="1"/>
  <c r="AL129" i="1"/>
  <c r="AI129" i="1"/>
  <c r="O129" i="1"/>
  <c r="O137" i="1" s="1"/>
  <c r="L129" i="1"/>
  <c r="I129" i="1"/>
  <c r="R126" i="1"/>
  <c r="Q126" i="1"/>
  <c r="O126" i="1"/>
  <c r="N126" i="1"/>
  <c r="L126" i="1"/>
  <c r="K126" i="1"/>
  <c r="R125" i="1"/>
  <c r="Q125" i="1"/>
  <c r="O125" i="1"/>
  <c r="N125" i="1"/>
  <c r="L125" i="1"/>
  <c r="K125" i="1"/>
  <c r="R124" i="1"/>
  <c r="Q124" i="1"/>
  <c r="O124" i="1"/>
  <c r="N124" i="1"/>
  <c r="L124" i="1"/>
  <c r="K124" i="1"/>
  <c r="R123" i="1"/>
  <c r="Q123" i="1"/>
  <c r="O123" i="1"/>
  <c r="N123" i="1"/>
  <c r="L123" i="1"/>
  <c r="K123" i="1"/>
  <c r="R122" i="1"/>
  <c r="Q122" i="1"/>
  <c r="O122" i="1"/>
  <c r="N122" i="1"/>
  <c r="L122" i="1"/>
  <c r="K122" i="1"/>
  <c r="R121" i="1"/>
  <c r="Q121" i="1"/>
  <c r="O121" i="1"/>
  <c r="N121" i="1"/>
  <c r="L121" i="1"/>
  <c r="K121" i="1"/>
  <c r="R120" i="1"/>
  <c r="Q120" i="1"/>
  <c r="O120" i="1"/>
  <c r="N120" i="1"/>
  <c r="L120" i="1"/>
  <c r="K120" i="1"/>
  <c r="R119" i="1"/>
  <c r="Q119" i="1"/>
  <c r="O119" i="1"/>
  <c r="N119" i="1"/>
  <c r="L119" i="1"/>
  <c r="K119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L100" i="1"/>
  <c r="K100" i="1"/>
  <c r="E100" i="1"/>
  <c r="L99" i="1"/>
  <c r="K99" i="1"/>
  <c r="E99" i="1"/>
  <c r="L98" i="1"/>
  <c r="K98" i="1"/>
  <c r="E98" i="1"/>
  <c r="AF105" i="1"/>
  <c r="AC105" i="1"/>
  <c r="Z105" i="1"/>
  <c r="W105" i="1"/>
  <c r="T105" i="1"/>
  <c r="AF104" i="1"/>
  <c r="AC104" i="1"/>
  <c r="Z104" i="1"/>
  <c r="W104" i="1"/>
  <c r="T104" i="1"/>
  <c r="AF103" i="1"/>
  <c r="AC103" i="1"/>
  <c r="Z103" i="1"/>
  <c r="W103" i="1"/>
  <c r="T103" i="1"/>
  <c r="AF102" i="1"/>
  <c r="AC102" i="1"/>
  <c r="Z102" i="1"/>
  <c r="W102" i="1"/>
  <c r="T102" i="1"/>
  <c r="AR90" i="1"/>
  <c r="AC101" i="1"/>
  <c r="Z101" i="1"/>
  <c r="W101" i="1"/>
  <c r="T101" i="1"/>
  <c r="AF100" i="1"/>
  <c r="AC100" i="1"/>
  <c r="Z100" i="1"/>
  <c r="W100" i="1"/>
  <c r="T100" i="1"/>
  <c r="AF99" i="1"/>
  <c r="AC99" i="1"/>
  <c r="Z99" i="1"/>
  <c r="W99" i="1"/>
  <c r="T99" i="1"/>
  <c r="AF98" i="1"/>
  <c r="AC98" i="1"/>
  <c r="Z98" i="1"/>
  <c r="W98" i="1"/>
  <c r="U95" i="1"/>
  <c r="T98" i="1"/>
  <c r="AR82" i="1"/>
  <c r="AO82" i="1"/>
  <c r="O82" i="1"/>
  <c r="L82" i="1"/>
  <c r="I82" i="1"/>
  <c r="AR81" i="1"/>
  <c r="AO81" i="1"/>
  <c r="O81" i="1"/>
  <c r="I81" i="1"/>
  <c r="AR80" i="1"/>
  <c r="AO80" i="1"/>
  <c r="O80" i="1"/>
  <c r="I80" i="1"/>
  <c r="AR76" i="1"/>
  <c r="AO76" i="1"/>
  <c r="O76" i="1"/>
  <c r="I76" i="1"/>
  <c r="AR75" i="1"/>
  <c r="AO75" i="1"/>
  <c r="O75" i="1"/>
  <c r="I75" i="1"/>
  <c r="K70" i="1"/>
  <c r="H70" i="1"/>
  <c r="E70" i="1"/>
  <c r="N69" i="1"/>
  <c r="Q69" i="1" s="1"/>
  <c r="K79" i="1"/>
  <c r="L79" i="1" s="1"/>
  <c r="H79" i="1"/>
  <c r="I79" i="1" s="1"/>
  <c r="F69" i="1"/>
  <c r="E79" i="1" s="1"/>
  <c r="F79" i="1" s="1"/>
  <c r="R68" i="1"/>
  <c r="Q78" i="1" s="1"/>
  <c r="Q68" i="1"/>
  <c r="O68" i="1"/>
  <c r="N78" i="1" s="1"/>
  <c r="N68" i="1"/>
  <c r="K78" i="1"/>
  <c r="L78" i="1" s="1"/>
  <c r="H78" i="1"/>
  <c r="I78" i="1" s="1"/>
  <c r="F68" i="1"/>
  <c r="E78" i="1" s="1"/>
  <c r="F78" i="1" s="1"/>
  <c r="K77" i="1"/>
  <c r="I70" i="1"/>
  <c r="F67" i="1"/>
  <c r="E77" i="1" s="1"/>
  <c r="AS65" i="1"/>
  <c r="AP65" i="1"/>
  <c r="AM65" i="1"/>
  <c r="AJ65" i="1"/>
  <c r="AS62" i="1"/>
  <c r="AD61" i="1"/>
  <c r="AA61" i="1"/>
  <c r="X61" i="1"/>
  <c r="U61" i="1"/>
  <c r="U82" i="1" s="1"/>
  <c r="U105" i="1" s="1"/>
  <c r="O62" i="1"/>
  <c r="R62" i="1" s="1"/>
  <c r="I62" i="1"/>
  <c r="H61" i="1" s="1"/>
  <c r="E62" i="1"/>
  <c r="AR61" i="1"/>
  <c r="AO61" i="1"/>
  <c r="F61" i="1"/>
  <c r="F105" i="1" s="1"/>
  <c r="F116" i="1" s="1"/>
  <c r="AR60" i="1"/>
  <c r="AD60" i="1"/>
  <c r="X60" i="1"/>
  <c r="L81" i="1"/>
  <c r="H60" i="1"/>
  <c r="F60" i="1"/>
  <c r="F104" i="1" s="1"/>
  <c r="F115" i="1" s="1"/>
  <c r="AG59" i="1"/>
  <c r="AG103" i="1" s="1"/>
  <c r="AR59" i="1"/>
  <c r="AD59" i="1"/>
  <c r="AD103" i="1" s="1"/>
  <c r="AO59" i="1"/>
  <c r="AA59" i="1"/>
  <c r="AA103" i="1" s="1"/>
  <c r="X59" i="1"/>
  <c r="X103" i="1" s="1"/>
  <c r="U59" i="1"/>
  <c r="U80" i="1" s="1"/>
  <c r="U103" i="1" s="1"/>
  <c r="N59" i="1"/>
  <c r="Q59" i="1" s="1"/>
  <c r="L80" i="1"/>
  <c r="H59" i="1"/>
  <c r="F59" i="1"/>
  <c r="F103" i="1" s="1"/>
  <c r="F114" i="1" s="1"/>
  <c r="AG58" i="1"/>
  <c r="AO58" i="1"/>
  <c r="AA58" i="1"/>
  <c r="X58" i="1"/>
  <c r="U58" i="1"/>
  <c r="U159" i="1" s="1"/>
  <c r="Q58" i="1"/>
  <c r="N58" i="1"/>
  <c r="L159" i="1"/>
  <c r="L169" i="1" s="1"/>
  <c r="H58" i="1"/>
  <c r="F58" i="1"/>
  <c r="F91" i="1" s="1"/>
  <c r="E113" i="1" s="1"/>
  <c r="AG57" i="1"/>
  <c r="AG90" i="1" s="1"/>
  <c r="AR57" i="1"/>
  <c r="AD57" i="1"/>
  <c r="AD90" i="1" s="1"/>
  <c r="AO57" i="1"/>
  <c r="AA57" i="1"/>
  <c r="AA90" i="1" s="1"/>
  <c r="X57" i="1"/>
  <c r="X90" i="1" s="1"/>
  <c r="U57" i="1"/>
  <c r="N57" i="1"/>
  <c r="Q57" i="1" s="1"/>
  <c r="H57" i="1"/>
  <c r="F57" i="1"/>
  <c r="AR56" i="1"/>
  <c r="AD56" i="1"/>
  <c r="AA56" i="1"/>
  <c r="X56" i="1"/>
  <c r="U56" i="1"/>
  <c r="Q56" i="1"/>
  <c r="N56" i="1"/>
  <c r="H56" i="1"/>
  <c r="F56" i="1"/>
  <c r="F89" i="1" s="1"/>
  <c r="E111" i="1" s="1"/>
  <c r="AP55" i="1"/>
  <c r="AJ55" i="1"/>
  <c r="AI55" i="1" s="1"/>
  <c r="AG55" i="1"/>
  <c r="AR55" i="1"/>
  <c r="AD55" i="1"/>
  <c r="AO55" i="1"/>
  <c r="AA55" i="1"/>
  <c r="X55" i="1"/>
  <c r="U55" i="1"/>
  <c r="U76" i="1" s="1"/>
  <c r="U99" i="1" s="1"/>
  <c r="N55" i="1"/>
  <c r="Q55" i="1" s="1"/>
  <c r="R55" i="1" s="1"/>
  <c r="R76" i="1" s="1"/>
  <c r="L76" i="1"/>
  <c r="H55" i="1"/>
  <c r="F55" i="1"/>
  <c r="AR54" i="1"/>
  <c r="AO54" i="1"/>
  <c r="AG54" i="1"/>
  <c r="AF62" i="1"/>
  <c r="AR62" i="1" s="1"/>
  <c r="Z62" i="1"/>
  <c r="T62" i="1"/>
  <c r="Q54" i="1"/>
  <c r="N54" i="1"/>
  <c r="H54" i="1"/>
  <c r="H62" i="1" s="1"/>
  <c r="F54" i="1"/>
  <c r="R49" i="1"/>
  <c r="O49" i="1"/>
  <c r="F49" i="1"/>
  <c r="Z48" i="1"/>
  <c r="T48" i="1"/>
  <c r="K48" i="1"/>
  <c r="H48" i="1"/>
  <c r="BQ46" i="1"/>
  <c r="BM46" i="1"/>
  <c r="BL46" i="1"/>
  <c r="AS46" i="1"/>
  <c r="AR46" i="1" s="1"/>
  <c r="AM46" i="1"/>
  <c r="AL46" i="1" s="1"/>
  <c r="AH46" i="1"/>
  <c r="AC46" i="1"/>
  <c r="W46" i="1"/>
  <c r="T46" i="1"/>
  <c r="Q46" i="1"/>
  <c r="N46" i="1"/>
  <c r="L46" i="1"/>
  <c r="L134" i="1" s="1"/>
  <c r="K134" i="1" s="1"/>
  <c r="I46" i="1"/>
  <c r="I134" i="1" s="1"/>
  <c r="H46" i="1"/>
  <c r="BO45" i="1"/>
  <c r="BL45" i="1"/>
  <c r="AP45" i="1"/>
  <c r="AO45" i="1" s="1"/>
  <c r="AJ45" i="1"/>
  <c r="AI45" i="1" s="1"/>
  <c r="AF45" i="1"/>
  <c r="AH45" i="1"/>
  <c r="Z45" i="1"/>
  <c r="T45" i="1"/>
  <c r="Q45" i="1"/>
  <c r="N45" i="1"/>
  <c r="K45" i="1"/>
  <c r="H45" i="1"/>
  <c r="AC44" i="1"/>
  <c r="Q44" i="1"/>
  <c r="N44" i="1"/>
  <c r="K44" i="1"/>
  <c r="H44" i="1"/>
  <c r="AS43" i="1"/>
  <c r="AR43" i="1" s="1"/>
  <c r="AM43" i="1"/>
  <c r="AL43" i="1" s="1"/>
  <c r="AH43" i="1"/>
  <c r="AG49" i="1"/>
  <c r="AC43" i="1"/>
  <c r="AA49" i="1"/>
  <c r="W43" i="1"/>
  <c r="BI43" i="1"/>
  <c r="T43" i="1"/>
  <c r="Q43" i="1"/>
  <c r="N43" i="1"/>
  <c r="L43" i="1"/>
  <c r="I43" i="1"/>
  <c r="H43" i="1"/>
  <c r="R38" i="1"/>
  <c r="Q38" i="1"/>
  <c r="O38" i="1"/>
  <c r="N38" i="1"/>
  <c r="L38" i="1"/>
  <c r="I38" i="1"/>
  <c r="K38" i="1" s="1"/>
  <c r="H38" i="1"/>
  <c r="F38" i="1"/>
  <c r="AP37" i="1"/>
  <c r="AO37" i="1" s="1"/>
  <c r="AJ37" i="1"/>
  <c r="AI37" i="1" s="1"/>
  <c r="AF37" i="1"/>
  <c r="Z37" i="1"/>
  <c r="T37" i="1"/>
  <c r="Z36" i="1"/>
  <c r="T36" i="1"/>
  <c r="Q36" i="1"/>
  <c r="N36" i="1"/>
  <c r="K36" i="1"/>
  <c r="H36" i="1"/>
  <c r="AS35" i="1"/>
  <c r="AR35" i="1" s="1"/>
  <c r="AM35" i="1"/>
  <c r="AL35" i="1" s="1"/>
  <c r="AH35" i="1"/>
  <c r="AC35" i="1"/>
  <c r="BP45" i="1"/>
  <c r="W35" i="1"/>
  <c r="BH46" i="1"/>
  <c r="T35" i="1"/>
  <c r="Q35" i="1"/>
  <c r="N35" i="1"/>
  <c r="K35" i="1"/>
  <c r="H35" i="1"/>
  <c r="AC34" i="1"/>
  <c r="Q34" i="1"/>
  <c r="N34" i="1"/>
  <c r="K34" i="1"/>
  <c r="H34" i="1"/>
  <c r="AP33" i="1"/>
  <c r="AO33" i="1" s="1"/>
  <c r="AJ33" i="1"/>
  <c r="AI33" i="1" s="1"/>
  <c r="AF33" i="1"/>
  <c r="Z33" i="1"/>
  <c r="T33" i="1"/>
  <c r="Q33" i="1"/>
  <c r="N33" i="1"/>
  <c r="K33" i="1"/>
  <c r="H33" i="1"/>
  <c r="Z32" i="1"/>
  <c r="BH43" i="1"/>
  <c r="T32" i="1"/>
  <c r="Q32" i="1"/>
  <c r="N32" i="1"/>
  <c r="K32" i="1"/>
  <c r="H32" i="1"/>
  <c r="AS31" i="1"/>
  <c r="AR31" i="1" s="1"/>
  <c r="AM31" i="1"/>
  <c r="AL31" i="1" s="1"/>
  <c r="AH31" i="1"/>
  <c r="AC31" i="1"/>
  <c r="W31" i="1"/>
  <c r="T31" i="1"/>
  <c r="Q31" i="1"/>
  <c r="N31" i="1"/>
  <c r="K31" i="1"/>
  <c r="H31" i="1"/>
  <c r="AG38" i="1"/>
  <c r="BH41" i="1"/>
  <c r="Q30" i="1"/>
  <c r="N30" i="1"/>
  <c r="K30" i="1"/>
  <c r="H30" i="1"/>
  <c r="O27" i="1"/>
  <c r="L27" i="1"/>
  <c r="F27" i="1"/>
  <c r="AC26" i="1"/>
  <c r="W26" i="1"/>
  <c r="R26" i="1"/>
  <c r="Q26" i="1"/>
  <c r="N26" i="1"/>
  <c r="K26" i="1"/>
  <c r="H26" i="1"/>
  <c r="H184" i="1" s="1"/>
  <c r="H185" i="1" s="1"/>
  <c r="AG195" i="1"/>
  <c r="AD195" i="1"/>
  <c r="AA195" i="1"/>
  <c r="X195" i="1"/>
  <c r="W25" i="1"/>
  <c r="R25" i="1"/>
  <c r="Q25" i="1"/>
  <c r="N25" i="1"/>
  <c r="K25" i="1"/>
  <c r="H25" i="1"/>
  <c r="AF24" i="1"/>
  <c r="Z24" i="1"/>
  <c r="T24" i="1"/>
  <c r="R24" i="1"/>
  <c r="BM45" i="1" s="1"/>
  <c r="Q24" i="1"/>
  <c r="N24" i="1"/>
  <c r="K24" i="1"/>
  <c r="H24" i="1"/>
  <c r="AG193" i="1"/>
  <c r="AD193" i="1"/>
  <c r="AA193" i="1"/>
  <c r="X193" i="1"/>
  <c r="R23" i="1"/>
  <c r="N23" i="1"/>
  <c r="K23" i="1"/>
  <c r="H23" i="1"/>
  <c r="AG192" i="1"/>
  <c r="AD192" i="1"/>
  <c r="AC22" i="1"/>
  <c r="AA192" i="1"/>
  <c r="X192" i="1"/>
  <c r="W22" i="1"/>
  <c r="R22" i="1"/>
  <c r="Q22" i="1"/>
  <c r="N22" i="1"/>
  <c r="K22" i="1"/>
  <c r="H22" i="1"/>
  <c r="AS21" i="1"/>
  <c r="AR21" i="1" s="1"/>
  <c r="AC21" i="1"/>
  <c r="N21" i="1"/>
  <c r="L21" i="1"/>
  <c r="I21" i="1"/>
  <c r="I131" i="1" s="1"/>
  <c r="H21" i="1"/>
  <c r="AC20" i="1"/>
  <c r="X190" i="1"/>
  <c r="W20" i="1"/>
  <c r="R20" i="1"/>
  <c r="Q20" i="1"/>
  <c r="N20" i="1"/>
  <c r="K20" i="1"/>
  <c r="H20" i="1"/>
  <c r="AS19" i="1"/>
  <c r="AR19" i="1" s="1"/>
  <c r="AH30" i="1"/>
  <c r="AA27" i="1"/>
  <c r="R19" i="1"/>
  <c r="Q19" i="1"/>
  <c r="N19" i="1"/>
  <c r="K19" i="1"/>
  <c r="H19" i="1"/>
  <c r="R18" i="1"/>
  <c r="L18" i="1"/>
  <c r="AD16" i="1"/>
  <c r="AP16" i="1" s="1"/>
  <c r="AO16" i="1" s="1"/>
  <c r="X16" i="1"/>
  <c r="R16" i="1"/>
  <c r="O16" i="1"/>
  <c r="L16" i="1"/>
  <c r="Q16" i="1" s="1"/>
  <c r="F16" i="1"/>
  <c r="AS15" i="1"/>
  <c r="AR15" i="1" s="1"/>
  <c r="AF15" i="1"/>
  <c r="AC15" i="1"/>
  <c r="Z15" i="1"/>
  <c r="W15" i="1"/>
  <c r="T15" i="1"/>
  <c r="Q15" i="1"/>
  <c r="N15" i="1"/>
  <c r="K15" i="1"/>
  <c r="H15" i="1"/>
  <c r="AS14" i="1"/>
  <c r="AR14" i="1" s="1"/>
  <c r="AF14" i="1"/>
  <c r="AP14" i="1"/>
  <c r="AO14" i="1" s="1"/>
  <c r="AC14" i="1"/>
  <c r="Z14" i="1"/>
  <c r="W14" i="1"/>
  <c r="T14" i="1"/>
  <c r="Q14" i="1"/>
  <c r="N14" i="1"/>
  <c r="K14" i="1"/>
  <c r="H14" i="1"/>
  <c r="AS13" i="1"/>
  <c r="AR13" i="1" s="1"/>
  <c r="AJ13" i="1"/>
  <c r="AI13" i="1" s="1"/>
  <c r="AC13" i="1"/>
  <c r="Z13" i="1"/>
  <c r="W13" i="1"/>
  <c r="T13" i="1"/>
  <c r="Q13" i="1"/>
  <c r="N13" i="1"/>
  <c r="K13" i="1"/>
  <c r="H13" i="1"/>
  <c r="AM12" i="1"/>
  <c r="AL12" i="1" s="1"/>
  <c r="AF12" i="1"/>
  <c r="AP12" i="1"/>
  <c r="AO12" i="1" s="1"/>
  <c r="AC12" i="1"/>
  <c r="Z12" i="1"/>
  <c r="W12" i="1"/>
  <c r="T12" i="1"/>
  <c r="Q12" i="1"/>
  <c r="N12" i="1"/>
  <c r="K12" i="1"/>
  <c r="H12" i="1"/>
  <c r="AS11" i="1"/>
  <c r="AR11" i="1" s="1"/>
  <c r="AP11" i="1"/>
  <c r="AO11" i="1" s="1"/>
  <c r="AC11" i="1"/>
  <c r="Z11" i="1"/>
  <c r="W11" i="1"/>
  <c r="T11" i="1"/>
  <c r="Q11" i="1"/>
  <c r="N11" i="1"/>
  <c r="K11" i="1"/>
  <c r="H11" i="1"/>
  <c r="AS10" i="1"/>
  <c r="AR10" i="1" s="1"/>
  <c r="AF10" i="1"/>
  <c r="AP10" i="1"/>
  <c r="AO10" i="1" s="1"/>
  <c r="AC10" i="1"/>
  <c r="Z10" i="1"/>
  <c r="W10" i="1"/>
  <c r="T10" i="1"/>
  <c r="N10" i="1"/>
  <c r="L10" i="1"/>
  <c r="Q10" i="1" s="1"/>
  <c r="K10" i="1"/>
  <c r="I10" i="1"/>
  <c r="I16" i="1" s="1"/>
  <c r="H10" i="1"/>
  <c r="AS9" i="1"/>
  <c r="AR9" i="1" s="1"/>
  <c r="AF9" i="1"/>
  <c r="AP9" i="1"/>
  <c r="AO9" i="1" s="1"/>
  <c r="AC9" i="1"/>
  <c r="Z9" i="1"/>
  <c r="W9" i="1"/>
  <c r="T9" i="1"/>
  <c r="Q9" i="1"/>
  <c r="N9" i="1"/>
  <c r="K9" i="1"/>
  <c r="H9" i="1"/>
  <c r="AS8" i="1"/>
  <c r="AR8" i="1" s="1"/>
  <c r="AF8" i="1"/>
  <c r="AC8" i="1"/>
  <c r="AA16" i="1"/>
  <c r="AC16" i="1" s="1"/>
  <c r="Z8" i="1"/>
  <c r="W8" i="1"/>
  <c r="U16" i="1"/>
  <c r="W16" i="1" s="1"/>
  <c r="T8" i="1"/>
  <c r="Q8" i="1"/>
  <c r="N8" i="1"/>
  <c r="K8" i="1"/>
  <c r="H8" i="1"/>
  <c r="U1" i="1"/>
  <c r="H16" i="1" l="1"/>
  <c r="Z16" i="1"/>
  <c r="K16" i="1"/>
  <c r="N16" i="1"/>
  <c r="AS38" i="1"/>
  <c r="AR38" i="1" s="1"/>
  <c r="AM38" i="1"/>
  <c r="AL38" i="1" s="1"/>
  <c r="AS49" i="1"/>
  <c r="AR49" i="1" s="1"/>
  <c r="AM49" i="1"/>
  <c r="AL49" i="1" s="1"/>
  <c r="T16" i="1"/>
  <c r="U189" i="1"/>
  <c r="U142" i="1"/>
  <c r="U191" i="1"/>
  <c r="U144" i="1"/>
  <c r="R133" i="1"/>
  <c r="AJ16" i="1"/>
  <c r="AI16" i="1" s="1"/>
  <c r="AS25" i="1"/>
  <c r="AR25" i="1" s="1"/>
  <c r="X27" i="1"/>
  <c r="Z27" i="1" s="1"/>
  <c r="AA294" i="1"/>
  <c r="AA261" i="1"/>
  <c r="AA272" i="1"/>
  <c r="AA228" i="1"/>
  <c r="U275" i="1"/>
  <c r="U264" i="1"/>
  <c r="AG264" i="1"/>
  <c r="AG275" i="1"/>
  <c r="AD279" i="1"/>
  <c r="AD268" i="1"/>
  <c r="AD49" i="1"/>
  <c r="F75" i="1"/>
  <c r="F87" i="1"/>
  <c r="F98" i="1"/>
  <c r="AG87" i="1"/>
  <c r="AS54" i="1"/>
  <c r="AG98" i="1"/>
  <c r="AG75" i="1"/>
  <c r="X89" i="1"/>
  <c r="W111" i="1" s="1"/>
  <c r="X159" i="1"/>
  <c r="X169" i="1" s="1"/>
  <c r="X91" i="1"/>
  <c r="W113" i="1" s="1"/>
  <c r="AD104" i="1"/>
  <c r="AD93" i="1"/>
  <c r="AP60" i="1"/>
  <c r="AJ60" i="1"/>
  <c r="AI60" i="1" s="1"/>
  <c r="AD81" i="1"/>
  <c r="E83" i="1"/>
  <c r="F77" i="1"/>
  <c r="AO99" i="1"/>
  <c r="AI99" i="1"/>
  <c r="AO101" i="1"/>
  <c r="AI101" i="1"/>
  <c r="AJ8" i="1"/>
  <c r="AI8" i="1" s="1"/>
  <c r="AJ15" i="1"/>
  <c r="AI15" i="1" s="1"/>
  <c r="AP15" i="1"/>
  <c r="AO15" i="1" s="1"/>
  <c r="U18" i="1"/>
  <c r="W19" i="1"/>
  <c r="AC19" i="1"/>
  <c r="R130" i="1"/>
  <c r="AD307" i="1"/>
  <c r="AJ20" i="1"/>
  <c r="AI20" i="1" s="1"/>
  <c r="AP20" i="1"/>
  <c r="AO20" i="1" s="1"/>
  <c r="W21" i="1"/>
  <c r="R132" i="1"/>
  <c r="AJ192" i="1"/>
  <c r="AP192" i="1"/>
  <c r="AJ22" i="1"/>
  <c r="AI22" i="1" s="1"/>
  <c r="AP22" i="1"/>
  <c r="AO22" i="1" s="1"/>
  <c r="T23" i="1"/>
  <c r="Z23" i="1"/>
  <c r="AF23" i="1"/>
  <c r="T182" i="1"/>
  <c r="U147" i="1"/>
  <c r="Z182" i="1"/>
  <c r="AF182" i="1"/>
  <c r="AM24" i="1"/>
  <c r="AL24" i="1" s="1"/>
  <c r="AS24" i="1"/>
  <c r="AR24" i="1" s="1"/>
  <c r="AC25" i="1"/>
  <c r="R136" i="1"/>
  <c r="W184" i="1"/>
  <c r="AC184" i="1"/>
  <c r="AJ26" i="1"/>
  <c r="AI26" i="1" s="1"/>
  <c r="AP26" i="1"/>
  <c r="AO26" i="1" s="1"/>
  <c r="W30" i="1"/>
  <c r="AC30" i="1"/>
  <c r="AM30" i="1"/>
  <c r="AL30" i="1" s="1"/>
  <c r="AS30" i="1"/>
  <c r="AR30" i="1" s="1"/>
  <c r="X295" i="1"/>
  <c r="X273" i="1"/>
  <c r="X262" i="1"/>
  <c r="X229" i="1"/>
  <c r="AF32" i="1"/>
  <c r="AJ32" i="1"/>
  <c r="AI32" i="1" s="1"/>
  <c r="AP32" i="1"/>
  <c r="AO32" i="1" s="1"/>
  <c r="U297" i="1"/>
  <c r="U242" i="1"/>
  <c r="U253" i="1"/>
  <c r="U231" i="1"/>
  <c r="AA297" i="1"/>
  <c r="AA231" i="1"/>
  <c r="W34" i="1"/>
  <c r="AH34" i="1"/>
  <c r="AM34" i="1"/>
  <c r="AL34" i="1" s="1"/>
  <c r="AS34" i="1"/>
  <c r="AR34" i="1" s="1"/>
  <c r="X299" i="1"/>
  <c r="X233" i="1"/>
  <c r="AD288" i="1"/>
  <c r="AD299" i="1"/>
  <c r="AD255" i="1"/>
  <c r="AD233" i="1"/>
  <c r="AF36" i="1"/>
  <c r="AJ36" i="1"/>
  <c r="AI36" i="1" s="1"/>
  <c r="AP36" i="1"/>
  <c r="AO36" i="1" s="1"/>
  <c r="U301" i="1"/>
  <c r="U257" i="1"/>
  <c r="U246" i="1"/>
  <c r="U235" i="1"/>
  <c r="AA301" i="1"/>
  <c r="AA235" i="1"/>
  <c r="U38" i="1"/>
  <c r="AA38" i="1"/>
  <c r="H157" i="1"/>
  <c r="I157" i="1" s="1"/>
  <c r="X263" i="1"/>
  <c r="X274" i="1"/>
  <c r="W157" i="1"/>
  <c r="AD274" i="1"/>
  <c r="AD263" i="1"/>
  <c r="AC157" i="1"/>
  <c r="W44" i="1"/>
  <c r="AH44" i="1"/>
  <c r="AM44" i="1"/>
  <c r="AL44" i="1" s="1"/>
  <c r="AS44" i="1"/>
  <c r="AR44" i="1" s="1"/>
  <c r="U265" i="1"/>
  <c r="U276" i="1"/>
  <c r="T159" i="1"/>
  <c r="AA265" i="1"/>
  <c r="AA276" i="1"/>
  <c r="Z159" i="1"/>
  <c r="AG276" i="1"/>
  <c r="AG265" i="1"/>
  <c r="AF159" i="1"/>
  <c r="X277" i="1"/>
  <c r="X266" i="1"/>
  <c r="AD266" i="1"/>
  <c r="AD277" i="1"/>
  <c r="BN46" i="1"/>
  <c r="BR46" i="1"/>
  <c r="AF48" i="1"/>
  <c r="AJ48" i="1"/>
  <c r="AI48" i="1" s="1"/>
  <c r="I49" i="1"/>
  <c r="X49" i="1"/>
  <c r="Z49" i="1" s="1"/>
  <c r="AA54" i="1"/>
  <c r="U110" i="1"/>
  <c r="AA99" i="1"/>
  <c r="AA110" i="1" s="1"/>
  <c r="AA88" i="1"/>
  <c r="Z110" i="1" s="1"/>
  <c r="AA76" i="1"/>
  <c r="AG99" i="1"/>
  <c r="AG88" i="1"/>
  <c r="AG76" i="1"/>
  <c r="AS55" i="1"/>
  <c r="AA89" i="1"/>
  <c r="Z111" i="1" s="1"/>
  <c r="Z112" i="1"/>
  <c r="AF112" i="1"/>
  <c r="AS90" i="1"/>
  <c r="AM90" i="1"/>
  <c r="AA159" i="1"/>
  <c r="AA169" i="1" s="1"/>
  <c r="AA91" i="1"/>
  <c r="Z113" i="1" s="1"/>
  <c r="U114" i="1"/>
  <c r="AA105" i="1"/>
  <c r="AA116" i="1" s="1"/>
  <c r="AA82" i="1"/>
  <c r="AA94" i="1"/>
  <c r="Z116" i="1" s="1"/>
  <c r="T69" i="1"/>
  <c r="R69" i="1"/>
  <c r="Q79" i="1" s="1"/>
  <c r="AR99" i="1"/>
  <c r="AL99" i="1"/>
  <c r="AG306" i="1"/>
  <c r="AM21" i="1"/>
  <c r="AL21" i="1" s="1"/>
  <c r="AJ193" i="1"/>
  <c r="AP193" i="1"/>
  <c r="AP23" i="1"/>
  <c r="AO23" i="1" s="1"/>
  <c r="U195" i="1"/>
  <c r="U148" i="1"/>
  <c r="AM25" i="1"/>
  <c r="AL25" i="1" s="1"/>
  <c r="AP8" i="1"/>
  <c r="AO8" i="1" s="1"/>
  <c r="AM9" i="1"/>
  <c r="AL9" i="1" s="1"/>
  <c r="AM10" i="1"/>
  <c r="AL10" i="1" s="1"/>
  <c r="AJ11" i="1"/>
  <c r="AI11" i="1" s="1"/>
  <c r="AS12" i="1"/>
  <c r="AR12" i="1" s="1"/>
  <c r="AP13" i="1"/>
  <c r="AO13" i="1" s="1"/>
  <c r="AM14" i="1"/>
  <c r="AL14" i="1" s="1"/>
  <c r="AF11" i="1"/>
  <c r="AF13" i="1"/>
  <c r="AG16" i="1"/>
  <c r="X18" i="1"/>
  <c r="R189" i="1"/>
  <c r="R129" i="1"/>
  <c r="AD306" i="1"/>
  <c r="AD309" i="1" s="1"/>
  <c r="AJ19" i="1"/>
  <c r="AI19" i="1" s="1"/>
  <c r="AP19" i="1"/>
  <c r="AO19" i="1" s="1"/>
  <c r="T20" i="1"/>
  <c r="Z20" i="1"/>
  <c r="AF20" i="1"/>
  <c r="K21" i="1"/>
  <c r="R21" i="1"/>
  <c r="AJ21" i="1"/>
  <c r="AI21" i="1" s="1"/>
  <c r="AP21" i="1"/>
  <c r="AO21" i="1" s="1"/>
  <c r="T22" i="1"/>
  <c r="Z22" i="1"/>
  <c r="AF22" i="1"/>
  <c r="U146" i="1"/>
  <c r="U193" i="1"/>
  <c r="AM193" i="1"/>
  <c r="AS193" i="1"/>
  <c r="AM23" i="1"/>
  <c r="AL23" i="1" s="1"/>
  <c r="AS23" i="1"/>
  <c r="AR23" i="1" s="1"/>
  <c r="W24" i="1"/>
  <c r="AC24" i="1"/>
  <c r="R135" i="1"/>
  <c r="AJ195" i="1"/>
  <c r="AP195" i="1"/>
  <c r="AJ25" i="1"/>
  <c r="AI25" i="1" s="1"/>
  <c r="AP25" i="1"/>
  <c r="AO25" i="1" s="1"/>
  <c r="T26" i="1"/>
  <c r="Z26" i="1"/>
  <c r="AF26" i="1"/>
  <c r="I27" i="1"/>
  <c r="H27" i="1" s="1"/>
  <c r="U27" i="1"/>
  <c r="W27" i="1" s="1"/>
  <c r="AG27" i="1"/>
  <c r="X294" i="1"/>
  <c r="X261" i="1"/>
  <c r="X272" i="1"/>
  <c r="X250" i="1"/>
  <c r="X239" i="1"/>
  <c r="X228" i="1"/>
  <c r="AD294" i="1"/>
  <c r="AD283" i="1"/>
  <c r="AD261" i="1"/>
  <c r="AD272" i="1"/>
  <c r="AD239" i="1"/>
  <c r="AD250" i="1"/>
  <c r="AD228" i="1"/>
  <c r="Z31" i="1"/>
  <c r="AF31" i="1"/>
  <c r="AJ31" i="1"/>
  <c r="AI31" i="1" s="1"/>
  <c r="AP31" i="1"/>
  <c r="AO31" i="1" s="1"/>
  <c r="U296" i="1"/>
  <c r="U252" i="1"/>
  <c r="U241" i="1"/>
  <c r="U230" i="1"/>
  <c r="AA296" i="1"/>
  <c r="AA230" i="1"/>
  <c r="W33" i="1"/>
  <c r="AC33" i="1"/>
  <c r="AH33" i="1"/>
  <c r="AM33" i="1"/>
  <c r="AL33" i="1" s="1"/>
  <c r="AS33" i="1"/>
  <c r="AR33" i="1" s="1"/>
  <c r="Z35" i="1"/>
  <c r="AF35" i="1"/>
  <c r="AJ35" i="1"/>
  <c r="AI35" i="1" s="1"/>
  <c r="AP35" i="1"/>
  <c r="AO35" i="1" s="1"/>
  <c r="U300" i="1"/>
  <c r="U278" i="1"/>
  <c r="U267" i="1"/>
  <c r="U256" i="1"/>
  <c r="U234" i="1"/>
  <c r="U245" i="1"/>
  <c r="AA300" i="1"/>
  <c r="AA267" i="1"/>
  <c r="AA278" i="1"/>
  <c r="AA234" i="1"/>
  <c r="W37" i="1"/>
  <c r="AC37" i="1"/>
  <c r="AH37" i="1"/>
  <c r="AM37" i="1"/>
  <c r="AL37" i="1" s="1"/>
  <c r="AS37" i="1"/>
  <c r="AR37" i="1" s="1"/>
  <c r="K43" i="1"/>
  <c r="Z43" i="1"/>
  <c r="AF43" i="1"/>
  <c r="AJ43" i="1"/>
  <c r="AI43" i="1" s="1"/>
  <c r="AP43" i="1"/>
  <c r="AO43" i="1" s="1"/>
  <c r="X264" i="1"/>
  <c r="X275" i="1"/>
  <c r="AD264" i="1"/>
  <c r="AD275" i="1"/>
  <c r="BH44" i="1"/>
  <c r="W45" i="1"/>
  <c r="AC45" i="1"/>
  <c r="AM45" i="1"/>
  <c r="AL45" i="1" s="1"/>
  <c r="AS45" i="1"/>
  <c r="AR45" i="1" s="1"/>
  <c r="BQ45" i="1"/>
  <c r="K46" i="1"/>
  <c r="Z46" i="1"/>
  <c r="AF46" i="1"/>
  <c r="AJ46" i="1"/>
  <c r="AI46" i="1" s="1"/>
  <c r="AP46" i="1"/>
  <c r="AO46" i="1" s="1"/>
  <c r="BI46" i="1"/>
  <c r="BO46" i="1"/>
  <c r="BH47" i="1"/>
  <c r="U279" i="1"/>
  <c r="U268" i="1"/>
  <c r="AA279" i="1"/>
  <c r="AA268" i="1"/>
  <c r="AG268" i="1"/>
  <c r="AG279" i="1"/>
  <c r="AS48" i="1"/>
  <c r="AR48" i="1" s="1"/>
  <c r="AM48" i="1"/>
  <c r="AL48" i="1" s="1"/>
  <c r="BH48" i="1"/>
  <c r="L75" i="1"/>
  <c r="L62" i="1"/>
  <c r="U54" i="1"/>
  <c r="U75" i="1" s="1"/>
  <c r="AC62" i="1"/>
  <c r="AO62" i="1" s="1"/>
  <c r="AD54" i="1"/>
  <c r="F99" i="1"/>
  <c r="F110" i="1" s="1"/>
  <c r="F76" i="1"/>
  <c r="F88" i="1"/>
  <c r="E110" i="1" s="1"/>
  <c r="H121" i="1"/>
  <c r="AD89" i="1"/>
  <c r="AP56" i="1"/>
  <c r="AJ56" i="1"/>
  <c r="AI56" i="1" s="1"/>
  <c r="H123" i="1"/>
  <c r="X104" i="1"/>
  <c r="X115" i="1" s="1"/>
  <c r="X93" i="1"/>
  <c r="W115" i="1" s="1"/>
  <c r="X81" i="1"/>
  <c r="R57" i="1"/>
  <c r="R78" i="1" s="1"/>
  <c r="R56" i="1"/>
  <c r="R59" i="1"/>
  <c r="R80" i="1" s="1"/>
  <c r="R58" i="1"/>
  <c r="R159" i="1" s="1"/>
  <c r="R169" i="1" s="1"/>
  <c r="R54" i="1"/>
  <c r="R75" i="1" s="1"/>
  <c r="AD105" i="1"/>
  <c r="AD82" i="1"/>
  <c r="AD94" i="1"/>
  <c r="AP61" i="1"/>
  <c r="AJ61" i="1"/>
  <c r="AI61" i="1" s="1"/>
  <c r="K83" i="1"/>
  <c r="L77" i="1"/>
  <c r="AO98" i="1"/>
  <c r="AI98" i="1"/>
  <c r="AO100" i="1"/>
  <c r="AI100" i="1"/>
  <c r="AM19" i="1"/>
  <c r="AL19" i="1" s="1"/>
  <c r="AJ23" i="1"/>
  <c r="AI23" i="1" s="1"/>
  <c r="AS195" i="1"/>
  <c r="AM195" i="1"/>
  <c r="AD27" i="1"/>
  <c r="U283" i="1"/>
  <c r="U294" i="1"/>
  <c r="U261" i="1"/>
  <c r="U272" i="1"/>
  <c r="U250" i="1"/>
  <c r="U239" i="1"/>
  <c r="U228" i="1"/>
  <c r="X296" i="1"/>
  <c r="X230" i="1"/>
  <c r="X278" i="1"/>
  <c r="X300" i="1"/>
  <c r="X267" i="1"/>
  <c r="X234" i="1"/>
  <c r="X245" i="1"/>
  <c r="AA275" i="1"/>
  <c r="AA264" i="1"/>
  <c r="BI45" i="1"/>
  <c r="X279" i="1"/>
  <c r="X268" i="1"/>
  <c r="AP48" i="1"/>
  <c r="AO48" i="1" s="1"/>
  <c r="K56" i="1"/>
  <c r="X105" i="1"/>
  <c r="X116" i="1" s="1"/>
  <c r="X94" i="1"/>
  <c r="W116" i="1" s="1"/>
  <c r="X82" i="1"/>
  <c r="T68" i="1"/>
  <c r="AM8" i="1"/>
  <c r="AL8" i="1" s="1"/>
  <c r="AJ9" i="1"/>
  <c r="AI9" i="1" s="1"/>
  <c r="AJ10" i="1"/>
  <c r="AI10" i="1" s="1"/>
  <c r="AM11" i="1"/>
  <c r="AL11" i="1" s="1"/>
  <c r="AJ12" i="1"/>
  <c r="AI12" i="1" s="1"/>
  <c r="AM13" i="1"/>
  <c r="AL13" i="1" s="1"/>
  <c r="AJ14" i="1"/>
  <c r="AI14" i="1" s="1"/>
  <c r="AM15" i="1"/>
  <c r="AL15" i="1" s="1"/>
  <c r="AA18" i="1"/>
  <c r="T19" i="1"/>
  <c r="Z19" i="1"/>
  <c r="AF19" i="1"/>
  <c r="U190" i="1"/>
  <c r="U143" i="1"/>
  <c r="AM20" i="1"/>
  <c r="AL20" i="1" s="1"/>
  <c r="AS20" i="1"/>
  <c r="AR20" i="1" s="1"/>
  <c r="K191" i="1"/>
  <c r="L131" i="1"/>
  <c r="K131" i="1" s="1"/>
  <c r="Z21" i="1"/>
  <c r="AF21" i="1"/>
  <c r="U192" i="1"/>
  <c r="U145" i="1"/>
  <c r="AS192" i="1"/>
  <c r="AM192" i="1"/>
  <c r="AM22" i="1"/>
  <c r="AL22" i="1" s="1"/>
  <c r="AS22" i="1"/>
  <c r="AR22" i="1" s="1"/>
  <c r="Q23" i="1"/>
  <c r="W23" i="1"/>
  <c r="AC23" i="1"/>
  <c r="R134" i="1"/>
  <c r="X194" i="1"/>
  <c r="W182" i="1"/>
  <c r="X182" i="1" s="1"/>
  <c r="AC182" i="1"/>
  <c r="AJ24" i="1"/>
  <c r="AI24" i="1" s="1"/>
  <c r="AP24" i="1"/>
  <c r="AO24" i="1" s="1"/>
  <c r="T25" i="1"/>
  <c r="Z25" i="1"/>
  <c r="AF25" i="1"/>
  <c r="T184" i="1"/>
  <c r="U184" i="1" s="1"/>
  <c r="U196" i="1" s="1"/>
  <c r="U149" i="1"/>
  <c r="AA196" i="1"/>
  <c r="Z184" i="1"/>
  <c r="AA184" i="1" s="1"/>
  <c r="AF184" i="1"/>
  <c r="AM26" i="1"/>
  <c r="AL26" i="1" s="1"/>
  <c r="AS26" i="1"/>
  <c r="AR26" i="1" s="1"/>
  <c r="T30" i="1"/>
  <c r="Z30" i="1"/>
  <c r="AF30" i="1"/>
  <c r="AJ30" i="1"/>
  <c r="AI30" i="1" s="1"/>
  <c r="AP30" i="1"/>
  <c r="AO30" i="1" s="1"/>
  <c r="U295" i="1"/>
  <c r="U262" i="1"/>
  <c r="U273" i="1"/>
  <c r="U251" i="1"/>
  <c r="U240" i="1"/>
  <c r="U229" i="1"/>
  <c r="AA295" i="1"/>
  <c r="AA262" i="1"/>
  <c r="AA273" i="1"/>
  <c r="AA229" i="1"/>
  <c r="W32" i="1"/>
  <c r="AC32" i="1"/>
  <c r="AH32" i="1"/>
  <c r="AM32" i="1"/>
  <c r="AL32" i="1" s="1"/>
  <c r="AS32" i="1"/>
  <c r="AR32" i="1" s="1"/>
  <c r="X297" i="1"/>
  <c r="X231" i="1"/>
  <c r="T34" i="1"/>
  <c r="Z34" i="1"/>
  <c r="AF34" i="1"/>
  <c r="AJ34" i="1"/>
  <c r="AI34" i="1" s="1"/>
  <c r="AP34" i="1"/>
  <c r="AO34" i="1" s="1"/>
  <c r="U299" i="1"/>
  <c r="U244" i="1"/>
  <c r="U255" i="1"/>
  <c r="U233" i="1"/>
  <c r="AA299" i="1"/>
  <c r="AA233" i="1"/>
  <c r="W36" i="1"/>
  <c r="AC36" i="1"/>
  <c r="AH36" i="1"/>
  <c r="AM36" i="1"/>
  <c r="AL36" i="1" s="1"/>
  <c r="AS36" i="1"/>
  <c r="AR36" i="1" s="1"/>
  <c r="X301" i="1"/>
  <c r="X235" i="1"/>
  <c r="AD301" i="1"/>
  <c r="AD290" i="1"/>
  <c r="AD235" i="1"/>
  <c r="X38" i="1"/>
  <c r="Z38" i="1" s="1"/>
  <c r="AD38" i="1"/>
  <c r="BH42" i="1"/>
  <c r="K157" i="1"/>
  <c r="L157" i="1" s="1"/>
  <c r="L167" i="1" s="1"/>
  <c r="N67" i="1"/>
  <c r="U263" i="1"/>
  <c r="U274" i="1"/>
  <c r="T157" i="1"/>
  <c r="AA263" i="1"/>
  <c r="AA274" i="1"/>
  <c r="Z157" i="1"/>
  <c r="AG263" i="1"/>
  <c r="AG274" i="1"/>
  <c r="AF157" i="1"/>
  <c r="T44" i="1"/>
  <c r="Z44" i="1"/>
  <c r="AF44" i="1"/>
  <c r="AJ44" i="1"/>
  <c r="AI44" i="1" s="1"/>
  <c r="AP44" i="1"/>
  <c r="AO44" i="1" s="1"/>
  <c r="BI44" i="1"/>
  <c r="X265" i="1"/>
  <c r="X276" i="1"/>
  <c r="W159" i="1"/>
  <c r="AD265" i="1"/>
  <c r="AD276" i="1"/>
  <c r="AC159" i="1"/>
  <c r="BH45" i="1"/>
  <c r="BN45" i="1"/>
  <c r="BR45" i="1"/>
  <c r="U266" i="1"/>
  <c r="U277" i="1"/>
  <c r="AA266" i="1"/>
  <c r="AA277" i="1"/>
  <c r="AG266" i="1"/>
  <c r="AG277" i="1"/>
  <c r="BP46" i="1"/>
  <c r="W48" i="1"/>
  <c r="AC48" i="1"/>
  <c r="AH48" i="1"/>
  <c r="BI48" i="1"/>
  <c r="L49" i="1"/>
  <c r="Q49" i="1" s="1"/>
  <c r="U49" i="1"/>
  <c r="W49" i="1" s="1"/>
  <c r="W62" i="1"/>
  <c r="X54" i="1"/>
  <c r="AM54" i="1"/>
  <c r="AL54" i="1" s="1"/>
  <c r="X76" i="1"/>
  <c r="X99" i="1"/>
  <c r="X110" i="1" s="1"/>
  <c r="X88" i="1"/>
  <c r="W110" i="1" s="1"/>
  <c r="AD76" i="1"/>
  <c r="AD99" i="1"/>
  <c r="AD88" i="1"/>
  <c r="AM55" i="1"/>
  <c r="AL55" i="1" s="1"/>
  <c r="W112" i="1"/>
  <c r="AC112" i="1"/>
  <c r="AP90" i="1"/>
  <c r="AJ90" i="1"/>
  <c r="U169" i="1"/>
  <c r="AG159" i="1"/>
  <c r="AG91" i="1"/>
  <c r="AS58" i="1"/>
  <c r="AM58" i="1"/>
  <c r="AL58" i="1" s="1"/>
  <c r="U116" i="1"/>
  <c r="N132" i="1"/>
  <c r="O78" i="1"/>
  <c r="AR98" i="1"/>
  <c r="AL98" i="1"/>
  <c r="AL100" i="1"/>
  <c r="AR100" i="1"/>
  <c r="AG56" i="1"/>
  <c r="K58" i="1"/>
  <c r="AD58" i="1"/>
  <c r="I125" i="1"/>
  <c r="N60" i="1"/>
  <c r="Q60" i="1" s="1"/>
  <c r="R60" i="1" s="1"/>
  <c r="R81" i="1" s="1"/>
  <c r="U60" i="1"/>
  <c r="U81" i="1" s="1"/>
  <c r="U104" i="1" s="1"/>
  <c r="U115" i="1" s="1"/>
  <c r="AA60" i="1"/>
  <c r="AG60" i="1"/>
  <c r="N61" i="1"/>
  <c r="Q61" i="1" s="1"/>
  <c r="R61" i="1" s="1"/>
  <c r="R82" i="1" s="1"/>
  <c r="AG61" i="1"/>
  <c r="F70" i="1"/>
  <c r="L70" i="1"/>
  <c r="AG80" i="1"/>
  <c r="AI87" i="1"/>
  <c r="AO87" i="1"/>
  <c r="AL89" i="1"/>
  <c r="AR89" i="1"/>
  <c r="T112" i="1"/>
  <c r="AO102" i="1"/>
  <c r="AI102" i="1"/>
  <c r="AI91" i="1"/>
  <c r="AO91" i="1"/>
  <c r="F92" i="1"/>
  <c r="E114" i="1" s="1"/>
  <c r="X92" i="1"/>
  <c r="W114" i="1" s="1"/>
  <c r="AD92" i="1"/>
  <c r="AR104" i="1"/>
  <c r="AL104" i="1"/>
  <c r="AL93" i="1"/>
  <c r="AR93" i="1"/>
  <c r="T116" i="1"/>
  <c r="F100" i="1"/>
  <c r="F111" i="1" s="1"/>
  <c r="AF101" i="1"/>
  <c r="AO56" i="1"/>
  <c r="F101" i="1"/>
  <c r="F112" i="1" s="1"/>
  <c r="AM57" i="1"/>
  <c r="AL57" i="1" s="1"/>
  <c r="AS57" i="1"/>
  <c r="AR58" i="1"/>
  <c r="K59" i="1"/>
  <c r="X114" i="1"/>
  <c r="AP103" i="1"/>
  <c r="AJ103" i="1"/>
  <c r="AD114" i="1"/>
  <c r="AJ59" i="1"/>
  <c r="AI59" i="1" s="1"/>
  <c r="AP59" i="1"/>
  <c r="AO60" i="1"/>
  <c r="I126" i="1"/>
  <c r="F162" i="1"/>
  <c r="I172" i="1" s="1"/>
  <c r="AJ62" i="1"/>
  <c r="AI62" i="1" s="1"/>
  <c r="AP62" i="1"/>
  <c r="H77" i="1"/>
  <c r="X80" i="1"/>
  <c r="F81" i="1"/>
  <c r="AL88" i="1"/>
  <c r="AR88" i="1"/>
  <c r="T111" i="1"/>
  <c r="AI90" i="1"/>
  <c r="AO90" i="1"/>
  <c r="AR103" i="1"/>
  <c r="AL103" i="1"/>
  <c r="AL92" i="1"/>
  <c r="AR92" i="1"/>
  <c r="T115" i="1"/>
  <c r="AO105" i="1"/>
  <c r="AI105" i="1"/>
  <c r="AI94" i="1"/>
  <c r="AO94" i="1"/>
  <c r="F102" i="1"/>
  <c r="F113" i="1" s="1"/>
  <c r="K60" i="1"/>
  <c r="O69" i="1"/>
  <c r="N79" i="1" s="1"/>
  <c r="O79" i="1" s="1"/>
  <c r="AA80" i="1"/>
  <c r="AL87" i="1"/>
  <c r="AR87" i="1"/>
  <c r="T110" i="1"/>
  <c r="AI89" i="1"/>
  <c r="AO89" i="1"/>
  <c r="F90" i="1"/>
  <c r="E112" i="1" s="1"/>
  <c r="AR102" i="1"/>
  <c r="AL102" i="1"/>
  <c r="AL91" i="1"/>
  <c r="AR91" i="1"/>
  <c r="T114" i="1"/>
  <c r="AA92" i="1"/>
  <c r="Z114" i="1" s="1"/>
  <c r="AG92" i="1"/>
  <c r="AO104" i="1"/>
  <c r="AI104" i="1"/>
  <c r="AI93" i="1"/>
  <c r="AO93" i="1"/>
  <c r="F94" i="1"/>
  <c r="E116" i="1" s="1"/>
  <c r="I137" i="1"/>
  <c r="N133" i="1"/>
  <c r="AJ57" i="1"/>
  <c r="AI57" i="1" s="1"/>
  <c r="AP57" i="1"/>
  <c r="F160" i="1"/>
  <c r="I124" i="1"/>
  <c r="AA114" i="1"/>
  <c r="AG114" i="1"/>
  <c r="AS103" i="1"/>
  <c r="AM103" i="1"/>
  <c r="AM59" i="1"/>
  <c r="AL59" i="1" s="1"/>
  <c r="AS59" i="1"/>
  <c r="AM62" i="1"/>
  <c r="AL62" i="1" s="1"/>
  <c r="F80" i="1"/>
  <c r="AD80" i="1"/>
  <c r="F82" i="1"/>
  <c r="T109" i="1"/>
  <c r="AI88" i="1"/>
  <c r="AO88" i="1"/>
  <c r="AL90" i="1"/>
  <c r="T113" i="1"/>
  <c r="AO103" i="1"/>
  <c r="AI103" i="1"/>
  <c r="AI92" i="1"/>
  <c r="AO92" i="1"/>
  <c r="F93" i="1"/>
  <c r="E115" i="1" s="1"/>
  <c r="F161" i="1" s="1"/>
  <c r="I171" i="1" s="1"/>
  <c r="AR105" i="1"/>
  <c r="AL105" i="1"/>
  <c r="AL94" i="1"/>
  <c r="AR94" i="1"/>
  <c r="L137" i="1"/>
  <c r="K129" i="1"/>
  <c r="K133" i="1"/>
  <c r="O165" i="1"/>
  <c r="R286" i="1"/>
  <c r="R297" i="1"/>
  <c r="R242" i="1"/>
  <c r="R253" i="1"/>
  <c r="R231" i="1"/>
  <c r="N129" i="1"/>
  <c r="K132" i="1"/>
  <c r="AO137" i="1"/>
  <c r="AJ220" i="1"/>
  <c r="AG220" i="1"/>
  <c r="AG290" i="1" s="1"/>
  <c r="AP220" i="1"/>
  <c r="O193" i="1"/>
  <c r="R181" i="1"/>
  <c r="R193" i="1" s="1"/>
  <c r="O167" i="1"/>
  <c r="R295" i="1"/>
  <c r="R273" i="1"/>
  <c r="R284" i="1"/>
  <c r="R291" i="1" s="1"/>
  <c r="R262" i="1"/>
  <c r="R251" i="1"/>
  <c r="R229" i="1"/>
  <c r="I170" i="1"/>
  <c r="O171" i="1"/>
  <c r="R178" i="1"/>
  <c r="R190" i="1" s="1"/>
  <c r="O190" i="1"/>
  <c r="R183" i="1"/>
  <c r="R195" i="1" s="1"/>
  <c r="O195" i="1"/>
  <c r="AJ218" i="1"/>
  <c r="AG218" i="1"/>
  <c r="E231" i="1"/>
  <c r="F230" i="1"/>
  <c r="AL137" i="1"/>
  <c r="O168" i="1"/>
  <c r="L170" i="1"/>
  <c r="R171" i="1"/>
  <c r="L172" i="1"/>
  <c r="L184" i="1"/>
  <c r="K196" i="1" s="1"/>
  <c r="N185" i="1"/>
  <c r="I197" i="1"/>
  <c r="L209" i="1"/>
  <c r="L210" i="1" s="1"/>
  <c r="AD219" i="1"/>
  <c r="AD267" i="1" s="1"/>
  <c r="AD217" i="1"/>
  <c r="AD215" i="1"/>
  <c r="AD296" i="1" s="1"/>
  <c r="AP213" i="1"/>
  <c r="AG213" i="1"/>
  <c r="AG294" i="1" s="1"/>
  <c r="AD214" i="1"/>
  <c r="AD216" i="1"/>
  <c r="AD253" i="1" s="1"/>
  <c r="AP218" i="1"/>
  <c r="AR231" i="1"/>
  <c r="AL231" i="1"/>
  <c r="R168" i="1"/>
  <c r="O169" i="1"/>
  <c r="L185" i="1"/>
  <c r="R180" i="1"/>
  <c r="O192" i="1"/>
  <c r="K197" i="1"/>
  <c r="R299" i="1"/>
  <c r="R288" i="1"/>
  <c r="R244" i="1"/>
  <c r="R233" i="1"/>
  <c r="R301" i="1"/>
  <c r="R290" i="1"/>
  <c r="R235" i="1"/>
  <c r="R246" i="1"/>
  <c r="R240" i="1"/>
  <c r="R247" i="1" s="1"/>
  <c r="Q247" i="1" s="1"/>
  <c r="AO224" i="1"/>
  <c r="AI224" i="1"/>
  <c r="W177" i="1"/>
  <c r="Z178" i="1"/>
  <c r="W179" i="1"/>
  <c r="O182" i="1"/>
  <c r="O184" i="1"/>
  <c r="U217" i="1"/>
  <c r="X217" i="1" s="1"/>
  <c r="AA217" i="1" s="1"/>
  <c r="AA298" i="1" s="1"/>
  <c r="O251" i="1"/>
  <c r="O240" i="1"/>
  <c r="AF230" i="1"/>
  <c r="AI232" i="1"/>
  <c r="AO245" i="1"/>
  <c r="AI245" i="1"/>
  <c r="AI229" i="1"/>
  <c r="AI233" i="1"/>
  <c r="E242" i="1"/>
  <c r="F241" i="1"/>
  <c r="W257" i="1"/>
  <c r="X257" i="1" s="1"/>
  <c r="W256" i="1"/>
  <c r="X256" i="1" s="1"/>
  <c r="W254" i="1"/>
  <c r="W253" i="1"/>
  <c r="X253" i="1" s="1"/>
  <c r="Z250" i="1"/>
  <c r="W255" i="1"/>
  <c r="X255" i="1" s="1"/>
  <c r="W252" i="1"/>
  <c r="X252" i="1" s="1"/>
  <c r="W251" i="1"/>
  <c r="X251" i="1" s="1"/>
  <c r="O185" i="1"/>
  <c r="O250" i="1"/>
  <c r="O258" i="1" s="1"/>
  <c r="O239" i="1"/>
  <c r="O247" i="1" s="1"/>
  <c r="AF235" i="1"/>
  <c r="AF234" i="1"/>
  <c r="AL228" i="1"/>
  <c r="AR228" i="1"/>
  <c r="AI230" i="1"/>
  <c r="AF232" i="1"/>
  <c r="AR251" i="1"/>
  <c r="AL251" i="1"/>
  <c r="AM180" i="1"/>
  <c r="AM181" i="1"/>
  <c r="L182" i="1"/>
  <c r="K194" i="1" s="1"/>
  <c r="AM183" i="1"/>
  <c r="R296" i="1"/>
  <c r="R285" i="1"/>
  <c r="R252" i="1"/>
  <c r="R241" i="1"/>
  <c r="R298" i="1"/>
  <c r="R287" i="1"/>
  <c r="R243" i="1"/>
  <c r="R254" i="1"/>
  <c r="R289" i="1"/>
  <c r="R300" i="1"/>
  <c r="R278" i="1"/>
  <c r="R267" i="1"/>
  <c r="R234" i="1"/>
  <c r="R245" i="1"/>
  <c r="AL223" i="1"/>
  <c r="AL225" i="1"/>
  <c r="AF229" i="1"/>
  <c r="R230" i="1"/>
  <c r="R236" i="1" s="1"/>
  <c r="R202" i="1" s="1"/>
  <c r="AI231" i="1"/>
  <c r="AF233" i="1"/>
  <c r="AF255" i="1"/>
  <c r="AR254" i="1"/>
  <c r="AL254" i="1"/>
  <c r="AC256" i="1"/>
  <c r="AO255" i="1"/>
  <c r="AI255" i="1"/>
  <c r="AI234" i="1"/>
  <c r="W242" i="1"/>
  <c r="X242" i="1" s="1"/>
  <c r="AC242" i="1"/>
  <c r="W246" i="1"/>
  <c r="X246" i="1" s="1"/>
  <c r="AC246" i="1"/>
  <c r="AI247" i="1"/>
  <c r="AI251" i="1"/>
  <c r="AL253" i="1"/>
  <c r="AR253" i="1"/>
  <c r="AI235" i="1"/>
  <c r="Q257" i="1"/>
  <c r="R257" i="1" s="1"/>
  <c r="Q256" i="1"/>
  <c r="R256" i="1" s="1"/>
  <c r="AI239" i="1"/>
  <c r="AO239" i="1"/>
  <c r="W243" i="1"/>
  <c r="AC243" i="1"/>
  <c r="AL252" i="1"/>
  <c r="Q255" i="1"/>
  <c r="R255" i="1" s="1"/>
  <c r="W240" i="1"/>
  <c r="X240" i="1" s="1"/>
  <c r="AC240" i="1"/>
  <c r="W244" i="1"/>
  <c r="X244" i="1" s="1"/>
  <c r="AC244" i="1"/>
  <c r="AL247" i="1"/>
  <c r="Q250" i="1"/>
  <c r="R250" i="1" s="1"/>
  <c r="AL250" i="1"/>
  <c r="AR250" i="1"/>
  <c r="AL286" i="1"/>
  <c r="AR286" i="1"/>
  <c r="Z239" i="1"/>
  <c r="AA239" i="1" s="1"/>
  <c r="AF239" i="1"/>
  <c r="W241" i="1"/>
  <c r="X241" i="1" s="1"/>
  <c r="AC241" i="1"/>
  <c r="AI254" i="1"/>
  <c r="AL262" i="1"/>
  <c r="AL266" i="1"/>
  <c r="AL274" i="1"/>
  <c r="AL279" i="1"/>
  <c r="E287" i="1"/>
  <c r="F286" i="1"/>
  <c r="AL258" i="1"/>
  <c r="R263" i="1"/>
  <c r="R269" i="1" s="1"/>
  <c r="AL263" i="1"/>
  <c r="AL267" i="1"/>
  <c r="R275" i="1"/>
  <c r="AL275" i="1"/>
  <c r="AO284" i="1"/>
  <c r="O315" i="1"/>
  <c r="R264" i="1"/>
  <c r="AL264" i="1"/>
  <c r="R268" i="1"/>
  <c r="AL268" i="1"/>
  <c r="R272" i="1"/>
  <c r="AL272" i="1"/>
  <c r="R276" i="1"/>
  <c r="AL276" i="1"/>
  <c r="AR277" i="1"/>
  <c r="W283" i="1"/>
  <c r="T284" i="1"/>
  <c r="T285" i="1" s="1"/>
  <c r="T286" i="1" s="1"/>
  <c r="T287" i="1" s="1"/>
  <c r="T288" i="1" s="1"/>
  <c r="T289" i="1" s="1"/>
  <c r="T290" i="1" s="1"/>
  <c r="U290" i="1" s="1"/>
  <c r="AI258" i="1"/>
  <c r="AL261" i="1"/>
  <c r="AL265" i="1"/>
  <c r="AL273" i="1"/>
  <c r="AF288" i="1"/>
  <c r="AF285" i="1"/>
  <c r="AF284" i="1"/>
  <c r="AF290" i="1"/>
  <c r="AF289" i="1"/>
  <c r="AR283" i="1"/>
  <c r="AL287" i="1"/>
  <c r="AR287" i="1"/>
  <c r="AI288" i="1"/>
  <c r="O314" i="1"/>
  <c r="AG307" i="1"/>
  <c r="O313" i="1"/>
  <c r="AF301" i="1"/>
  <c r="AF297" i="1"/>
  <c r="E296" i="1"/>
  <c r="F295" i="1"/>
  <c r="AF295" i="1"/>
  <c r="AF296" i="1"/>
  <c r="AF300" i="1"/>
  <c r="AO301" i="1"/>
  <c r="AI286" i="1"/>
  <c r="AO289" i="1"/>
  <c r="AF298" i="1"/>
  <c r="AF299" i="1"/>
  <c r="AJ350" i="1"/>
  <c r="AL278" i="1"/>
  <c r="AO290" i="1"/>
  <c r="AI290" i="1"/>
  <c r="AI283" i="1"/>
  <c r="AO283" i="1"/>
  <c r="R294" i="1"/>
  <c r="AR294" i="1"/>
  <c r="BE309" i="1"/>
  <c r="BE353" i="1" s="1"/>
  <c r="BE354" i="1" s="1"/>
  <c r="AS350" i="1"/>
  <c r="AI295" i="1"/>
  <c r="AI299" i="1"/>
  <c r="O302" i="1"/>
  <c r="O207" i="1" s="1"/>
  <c r="AI300" i="1"/>
  <c r="Q269" i="1" l="1"/>
  <c r="R205" i="1"/>
  <c r="AM294" i="1"/>
  <c r="AS294" i="1"/>
  <c r="AP267" i="1"/>
  <c r="AJ267" i="1"/>
  <c r="AP253" i="1"/>
  <c r="AJ253" i="1"/>
  <c r="AJ296" i="1"/>
  <c r="AP296" i="1"/>
  <c r="AM290" i="1"/>
  <c r="AS290" i="1"/>
  <c r="Q291" i="1"/>
  <c r="R204" i="1"/>
  <c r="R313" i="1"/>
  <c r="R302" i="1"/>
  <c r="AR284" i="1"/>
  <c r="AL284" i="1"/>
  <c r="W284" i="1"/>
  <c r="Z283" i="1"/>
  <c r="R258" i="1"/>
  <c r="R203" i="1" s="1"/>
  <c r="AO243" i="1"/>
  <c r="AI243" i="1"/>
  <c r="AS218" i="1"/>
  <c r="AM218" i="1"/>
  <c r="T123" i="1"/>
  <c r="F159" i="1"/>
  <c r="I169" i="1" s="1"/>
  <c r="I123" i="1"/>
  <c r="T121" i="1"/>
  <c r="X160" i="1"/>
  <c r="X124" i="1"/>
  <c r="X156" i="1"/>
  <c r="X120" i="1"/>
  <c r="AP265" i="1"/>
  <c r="AJ265" i="1"/>
  <c r="AR299" i="1"/>
  <c r="AL299" i="1"/>
  <c r="O350" i="1"/>
  <c r="O208" i="1" s="1"/>
  <c r="AR285" i="1"/>
  <c r="AL285" i="1"/>
  <c r="E288" i="1"/>
  <c r="F287" i="1"/>
  <c r="AF243" i="1"/>
  <c r="AR239" i="1"/>
  <c r="AL239" i="1"/>
  <c r="AF246" i="1"/>
  <c r="AF242" i="1"/>
  <c r="AF245" i="1"/>
  <c r="AF241" i="1"/>
  <c r="AF244" i="1"/>
  <c r="AF240" i="1"/>
  <c r="AO242" i="1"/>
  <c r="AI242" i="1"/>
  <c r="AF256" i="1"/>
  <c r="AR255" i="1"/>
  <c r="AL255" i="1"/>
  <c r="AR229" i="1"/>
  <c r="AL229" i="1"/>
  <c r="R315" i="1"/>
  <c r="AR235" i="1"/>
  <c r="AL235" i="1"/>
  <c r="AR230" i="1"/>
  <c r="AL230" i="1"/>
  <c r="O196" i="1"/>
  <c r="R184" i="1"/>
  <c r="R196" i="1" s="1"/>
  <c r="W185" i="1"/>
  <c r="Z177" i="1"/>
  <c r="X177" i="1"/>
  <c r="AJ214" i="1"/>
  <c r="AG214" i="1"/>
  <c r="AP214" i="1"/>
  <c r="AP217" i="1"/>
  <c r="AG217" i="1"/>
  <c r="AJ217" i="1"/>
  <c r="AG124" i="1"/>
  <c r="AS114" i="1"/>
  <c r="AM114" i="1"/>
  <c r="AD147" i="1"/>
  <c r="AA134" i="1"/>
  <c r="Z124" i="1"/>
  <c r="X148" i="1"/>
  <c r="T125" i="1"/>
  <c r="U135" i="1"/>
  <c r="H83" i="1"/>
  <c r="I77" i="1"/>
  <c r="I83" i="1" s="1"/>
  <c r="AD124" i="1"/>
  <c r="AP114" i="1"/>
  <c r="AJ114" i="1"/>
  <c r="AR101" i="1"/>
  <c r="AL101" i="1"/>
  <c r="X134" i="1"/>
  <c r="AA147" i="1"/>
  <c r="W124" i="1"/>
  <c r="AG104" i="1"/>
  <c r="AG81" i="1"/>
  <c r="AG93" i="1"/>
  <c r="AS60" i="1"/>
  <c r="AM60" i="1"/>
  <c r="AL60" i="1" s="1"/>
  <c r="AG89" i="1"/>
  <c r="AS56" i="1"/>
  <c r="AM56" i="1"/>
  <c r="AL56" i="1" s="1"/>
  <c r="AS159" i="1"/>
  <c r="AM159" i="1"/>
  <c r="AC122" i="1"/>
  <c r="AO112" i="1"/>
  <c r="AI112" i="1"/>
  <c r="AD110" i="1"/>
  <c r="AP99" i="1"/>
  <c r="AJ99" i="1"/>
  <c r="N62" i="1"/>
  <c r="AS277" i="1"/>
  <c r="AM277" i="1"/>
  <c r="AP235" i="1"/>
  <c r="AJ235" i="1"/>
  <c r="AG255" i="1"/>
  <c r="U288" i="1"/>
  <c r="U284" i="1"/>
  <c r="X136" i="1"/>
  <c r="AA149" i="1"/>
  <c r="W126" i="1"/>
  <c r="AA232" i="1"/>
  <c r="AG250" i="1"/>
  <c r="U280" i="1"/>
  <c r="U206" i="1" s="1"/>
  <c r="AP27" i="1"/>
  <c r="AO27" i="1" s="1"/>
  <c r="AF27" i="1"/>
  <c r="AJ27" i="1"/>
  <c r="AI27" i="1" s="1"/>
  <c r="AC116" i="1"/>
  <c r="AP94" i="1"/>
  <c r="AJ94" i="1"/>
  <c r="X125" i="1"/>
  <c r="X161" i="1"/>
  <c r="AD75" i="1"/>
  <c r="AD98" i="1"/>
  <c r="AD87" i="1"/>
  <c r="AP54" i="1"/>
  <c r="AJ54" i="1"/>
  <c r="AI54" i="1" s="1"/>
  <c r="K61" i="1"/>
  <c r="K57" i="1"/>
  <c r="K55" i="1"/>
  <c r="AD287" i="1"/>
  <c r="X243" i="1"/>
  <c r="AP250" i="1"/>
  <c r="AJ250" i="1"/>
  <c r="AP283" i="1"/>
  <c r="AJ283" i="1"/>
  <c r="R191" i="1"/>
  <c r="Q157" i="1"/>
  <c r="R157" i="1" s="1"/>
  <c r="R167" i="1" s="1"/>
  <c r="R131" i="1"/>
  <c r="T21" i="1"/>
  <c r="R27" i="1"/>
  <c r="Q21" i="1"/>
  <c r="AP309" i="1"/>
  <c r="AJ309" i="1"/>
  <c r="AD208" i="1"/>
  <c r="AD18" i="1"/>
  <c r="AG18" i="1" s="1"/>
  <c r="AG309" i="1"/>
  <c r="R79" i="1"/>
  <c r="AF122" i="1"/>
  <c r="AR112" i="1"/>
  <c r="AL112" i="1"/>
  <c r="AA87" i="1"/>
  <c r="AA75" i="1"/>
  <c r="AA98" i="1"/>
  <c r="AP266" i="1"/>
  <c r="AJ266" i="1"/>
  <c r="AS265" i="1"/>
  <c r="AM265" i="1"/>
  <c r="AO157" i="1"/>
  <c r="AI157" i="1"/>
  <c r="W38" i="1"/>
  <c r="T38" i="1"/>
  <c r="AP255" i="1"/>
  <c r="AJ255" i="1"/>
  <c r="AD251" i="1"/>
  <c r="AD262" i="1"/>
  <c r="AG182" i="1"/>
  <c r="AR182" i="1"/>
  <c r="AL182" i="1"/>
  <c r="W123" i="1"/>
  <c r="AF109" i="1"/>
  <c r="AS87" i="1"/>
  <c r="AM87" i="1"/>
  <c r="F83" i="1"/>
  <c r="AP279" i="1"/>
  <c r="AJ279" i="1"/>
  <c r="U298" i="1"/>
  <c r="AD252" i="1"/>
  <c r="AA302" i="1"/>
  <c r="AA207" i="1" s="1"/>
  <c r="AR301" i="1"/>
  <c r="AL301" i="1"/>
  <c r="AR234" i="1"/>
  <c r="AL234" i="1"/>
  <c r="Z257" i="1"/>
  <c r="AA257" i="1" s="1"/>
  <c r="Z256" i="1"/>
  <c r="AA256" i="1" s="1"/>
  <c r="Z255" i="1"/>
  <c r="AA255" i="1" s="1"/>
  <c r="Z252" i="1"/>
  <c r="AA252" i="1" s="1"/>
  <c r="Z251" i="1"/>
  <c r="AA251" i="1" s="1"/>
  <c r="Z254" i="1"/>
  <c r="Z253" i="1"/>
  <c r="AA253" i="1" s="1"/>
  <c r="AJ216" i="1"/>
  <c r="AG216" i="1"/>
  <c r="AP216" i="1"/>
  <c r="AS220" i="1"/>
  <c r="AM220" i="1"/>
  <c r="T119" i="1"/>
  <c r="AF114" i="1"/>
  <c r="AS92" i="1"/>
  <c r="AM92" i="1"/>
  <c r="AC114" i="1"/>
  <c r="AD160" i="1" s="1"/>
  <c r="AP92" i="1"/>
  <c r="AJ92" i="1"/>
  <c r="AS80" i="1"/>
  <c r="AM80" i="1"/>
  <c r="AL80" i="1" s="1"/>
  <c r="U126" i="1"/>
  <c r="U162" i="1"/>
  <c r="U172" i="1" s="1"/>
  <c r="AC110" i="1"/>
  <c r="AP88" i="1"/>
  <c r="AJ88" i="1"/>
  <c r="AL298" i="1"/>
  <c r="AR298" i="1"/>
  <c r="AL300" i="1"/>
  <c r="AR300" i="1"/>
  <c r="F296" i="1"/>
  <c r="E297" i="1"/>
  <c r="AR289" i="1"/>
  <c r="AL289" i="1"/>
  <c r="AR288" i="1"/>
  <c r="AL288" i="1"/>
  <c r="R280" i="1"/>
  <c r="Z243" i="1"/>
  <c r="Z246" i="1"/>
  <c r="AA246" i="1" s="1"/>
  <c r="Z242" i="1"/>
  <c r="AA242" i="1" s="1"/>
  <c r="Z245" i="1"/>
  <c r="AA245" i="1" s="1"/>
  <c r="Z241" i="1"/>
  <c r="AA241" i="1" s="1"/>
  <c r="Z244" i="1"/>
  <c r="AA244" i="1" s="1"/>
  <c r="Z240" i="1"/>
  <c r="AA240" i="1" s="1"/>
  <c r="AA247" i="1" s="1"/>
  <c r="AO244" i="1"/>
  <c r="AI244" i="1"/>
  <c r="AC257" i="1"/>
  <c r="AO256" i="1"/>
  <c r="AI256" i="1"/>
  <c r="AL233" i="1"/>
  <c r="AR233" i="1"/>
  <c r="N247" i="1"/>
  <c r="O202" i="1"/>
  <c r="E243" i="1"/>
  <c r="F242" i="1"/>
  <c r="O194" i="1"/>
  <c r="O197" i="1" s="1"/>
  <c r="R182" i="1"/>
  <c r="R194" i="1" s="1"/>
  <c r="AM213" i="1"/>
  <c r="AS213" i="1"/>
  <c r="AP219" i="1"/>
  <c r="AG219" i="1"/>
  <c r="AJ219" i="1"/>
  <c r="R314" i="1"/>
  <c r="K137" i="1"/>
  <c r="AP80" i="1"/>
  <c r="AJ80" i="1"/>
  <c r="AI80" i="1" s="1"/>
  <c r="AA160" i="1"/>
  <c r="AA170" i="1" s="1"/>
  <c r="AA124" i="1"/>
  <c r="I139" i="1"/>
  <c r="H139" i="1" s="1"/>
  <c r="X147" i="1"/>
  <c r="U134" i="1"/>
  <c r="T124" i="1"/>
  <c r="X143" i="1"/>
  <c r="U130" i="1"/>
  <c r="T120" i="1"/>
  <c r="F157" i="1"/>
  <c r="I121" i="1"/>
  <c r="F134" i="1"/>
  <c r="H124" i="1"/>
  <c r="AA104" i="1"/>
  <c r="AA115" i="1" s="1"/>
  <c r="AA93" i="1"/>
  <c r="Z115" i="1" s="1"/>
  <c r="AA81" i="1"/>
  <c r="W122" i="1"/>
  <c r="AP76" i="1"/>
  <c r="AJ76" i="1"/>
  <c r="AI76" i="1" s="1"/>
  <c r="AS266" i="1"/>
  <c r="AM266" i="1"/>
  <c r="AO159" i="1"/>
  <c r="AI159" i="1"/>
  <c r="AR157" i="1"/>
  <c r="AL157" i="1"/>
  <c r="AP38" i="1"/>
  <c r="AO38" i="1" s="1"/>
  <c r="AJ38" i="1"/>
  <c r="AI38" i="1" s="1"/>
  <c r="AF38" i="1"/>
  <c r="AG288" i="1"/>
  <c r="AD286" i="1"/>
  <c r="U314" i="1"/>
  <c r="AO182" i="1"/>
  <c r="AI182" i="1"/>
  <c r="AD182" i="1"/>
  <c r="X162" i="1"/>
  <c r="X172" i="1" s="1"/>
  <c r="X126" i="1"/>
  <c r="AA243" i="1"/>
  <c r="AG261" i="1"/>
  <c r="U269" i="1"/>
  <c r="U205" i="1" s="1"/>
  <c r="AP82" i="1"/>
  <c r="AJ82" i="1"/>
  <c r="AI82" i="1" s="1"/>
  <c r="F133" i="1"/>
  <c r="AC111" i="1"/>
  <c r="AP89" i="1"/>
  <c r="AJ89" i="1"/>
  <c r="H120" i="1"/>
  <c r="F130" i="1"/>
  <c r="L83" i="1"/>
  <c r="L139" i="1" s="1"/>
  <c r="K139" i="1" s="1"/>
  <c r="AD232" i="1"/>
  <c r="AD298" i="1"/>
  <c r="U285" i="1"/>
  <c r="AP239" i="1"/>
  <c r="AJ239" i="1"/>
  <c r="AP294" i="1"/>
  <c r="AJ294" i="1"/>
  <c r="X280" i="1"/>
  <c r="X206" i="1" s="1"/>
  <c r="AS27" i="1"/>
  <c r="AR27" i="1" s="1"/>
  <c r="AM27" i="1"/>
  <c r="AL27" i="1" s="1"/>
  <c r="AS16" i="1"/>
  <c r="AR16" i="1" s="1"/>
  <c r="AM16" i="1"/>
  <c r="AL16" i="1" s="1"/>
  <c r="T146" i="1"/>
  <c r="W69" i="1"/>
  <c r="U69" i="1"/>
  <c r="T79" i="1" s="1"/>
  <c r="U79" i="1" s="1"/>
  <c r="U102" i="1" s="1"/>
  <c r="U113" i="1" s="1"/>
  <c r="U123" i="1" s="1"/>
  <c r="AA162" i="1"/>
  <c r="AA172" i="1" s="1"/>
  <c r="AA126" i="1"/>
  <c r="Z122" i="1"/>
  <c r="AS76" i="1"/>
  <c r="AM76" i="1"/>
  <c r="AL76" i="1" s="1"/>
  <c r="AD143" i="1"/>
  <c r="AA130" i="1"/>
  <c r="Z120" i="1"/>
  <c r="AS276" i="1"/>
  <c r="AM276" i="1"/>
  <c r="AP263" i="1"/>
  <c r="AJ263" i="1"/>
  <c r="AG235" i="1"/>
  <c r="AG301" i="1"/>
  <c r="AD244" i="1"/>
  <c r="AD240" i="1"/>
  <c r="AD295" i="1"/>
  <c r="AD302" i="1" s="1"/>
  <c r="X184" i="1"/>
  <c r="X196" i="1" s="1"/>
  <c r="U182" i="1"/>
  <c r="U185" i="1" s="1"/>
  <c r="T185" i="1"/>
  <c r="R192" i="1"/>
  <c r="AF16" i="1"/>
  <c r="AS75" i="1"/>
  <c r="AM75" i="1"/>
  <c r="AL75" i="1" s="1"/>
  <c r="Q62" i="1"/>
  <c r="AF49" i="1"/>
  <c r="AJ49" i="1"/>
  <c r="AI49" i="1" s="1"/>
  <c r="AP49" i="1"/>
  <c r="AO49" i="1" s="1"/>
  <c r="AS275" i="1"/>
  <c r="AM275" i="1"/>
  <c r="AD245" i="1"/>
  <c r="AD278" i="1"/>
  <c r="U232" i="1"/>
  <c r="U236" i="1" s="1"/>
  <c r="U287" i="1"/>
  <c r="AA250" i="1"/>
  <c r="U150" i="1"/>
  <c r="AC27" i="1"/>
  <c r="AR295" i="1"/>
  <c r="AL295" i="1"/>
  <c r="AO240" i="1"/>
  <c r="AI240" i="1"/>
  <c r="AR232" i="1"/>
  <c r="AL232" i="1"/>
  <c r="AC178" i="1"/>
  <c r="AA178" i="1"/>
  <c r="AA190" i="1" s="1"/>
  <c r="AP215" i="1"/>
  <c r="AG215" i="1"/>
  <c r="AJ215" i="1"/>
  <c r="AR296" i="1"/>
  <c r="AL296" i="1"/>
  <c r="AR297" i="1"/>
  <c r="AL297" i="1"/>
  <c r="AR290" i="1"/>
  <c r="AL290" i="1"/>
  <c r="AO241" i="1"/>
  <c r="AI241" i="1"/>
  <c r="AO246" i="1"/>
  <c r="AI246" i="1"/>
  <c r="N258" i="1"/>
  <c r="O203" i="1"/>
  <c r="Z179" i="1"/>
  <c r="X179" i="1"/>
  <c r="X191" i="1" s="1"/>
  <c r="E232" i="1"/>
  <c r="F231" i="1"/>
  <c r="F135" i="1"/>
  <c r="H125" i="1"/>
  <c r="F136" i="1"/>
  <c r="H126" i="1"/>
  <c r="F132" i="1"/>
  <c r="H122" i="1"/>
  <c r="F158" i="1"/>
  <c r="I168" i="1" s="1"/>
  <c r="I122" i="1"/>
  <c r="X149" i="1"/>
  <c r="U136" i="1"/>
  <c r="T126" i="1"/>
  <c r="T122" i="1"/>
  <c r="AG105" i="1"/>
  <c r="AG94" i="1"/>
  <c r="AG95" i="1" s="1"/>
  <c r="AG82" i="1"/>
  <c r="AS61" i="1"/>
  <c r="AM61" i="1"/>
  <c r="AL61" i="1" s="1"/>
  <c r="U161" i="1"/>
  <c r="U171" i="1" s="1"/>
  <c r="U125" i="1"/>
  <c r="AD159" i="1"/>
  <c r="AD91" i="1"/>
  <c r="AP58" i="1"/>
  <c r="AJ58" i="1"/>
  <c r="AI58" i="1" s="1"/>
  <c r="AF113" i="1"/>
  <c r="AS91" i="1"/>
  <c r="AM91" i="1"/>
  <c r="AA143" i="1"/>
  <c r="W120" i="1"/>
  <c r="X130" i="1"/>
  <c r="X98" i="1"/>
  <c r="X87" i="1"/>
  <c r="X75" i="1"/>
  <c r="AP276" i="1"/>
  <c r="AJ276" i="1"/>
  <c r="AS274" i="1"/>
  <c r="AM274" i="1"/>
  <c r="N70" i="1"/>
  <c r="Q67" i="1"/>
  <c r="O67" i="1"/>
  <c r="AJ290" i="1"/>
  <c r="AP290" i="1"/>
  <c r="AG233" i="1"/>
  <c r="AG299" i="1"/>
  <c r="AD231" i="1"/>
  <c r="AD297" i="1"/>
  <c r="AG184" i="1"/>
  <c r="AR184" i="1"/>
  <c r="AL184" i="1"/>
  <c r="T145" i="1"/>
  <c r="W68" i="1"/>
  <c r="U68" i="1"/>
  <c r="T78" i="1" s="1"/>
  <c r="U78" i="1" s="1"/>
  <c r="U101" i="1" s="1"/>
  <c r="U112" i="1" s="1"/>
  <c r="AA254" i="1"/>
  <c r="AG228" i="1"/>
  <c r="AG272" i="1"/>
  <c r="U302" i="1"/>
  <c r="U207" i="1" s="1"/>
  <c r="U313" i="1"/>
  <c r="AP105" i="1"/>
  <c r="AJ105" i="1"/>
  <c r="AD116" i="1"/>
  <c r="U98" i="1"/>
  <c r="T49" i="1"/>
  <c r="AM279" i="1"/>
  <c r="AS279" i="1"/>
  <c r="AP275" i="1"/>
  <c r="AJ275" i="1"/>
  <c r="AD254" i="1"/>
  <c r="X232" i="1"/>
  <c r="X298" i="1"/>
  <c r="X302" i="1" s="1"/>
  <c r="X207" i="1" s="1"/>
  <c r="U315" i="1"/>
  <c r="AP272" i="1"/>
  <c r="AJ272" i="1"/>
  <c r="X236" i="1"/>
  <c r="X269" i="1"/>
  <c r="X205" i="1" s="1"/>
  <c r="R137" i="1"/>
  <c r="Q130" i="1" s="1"/>
  <c r="U160" i="1"/>
  <c r="U170" i="1" s="1"/>
  <c r="U124" i="1"/>
  <c r="Z121" i="1"/>
  <c r="AF110" i="1"/>
  <c r="AS88" i="1"/>
  <c r="AM88" i="1"/>
  <c r="AA156" i="1"/>
  <c r="AA166" i="1" s="1"/>
  <c r="AA120" i="1"/>
  <c r="N49" i="1"/>
  <c r="K49" i="1"/>
  <c r="AP274" i="1"/>
  <c r="AJ274" i="1"/>
  <c r="I167" i="1"/>
  <c r="AG246" i="1"/>
  <c r="AP299" i="1"/>
  <c r="AJ299" i="1"/>
  <c r="U286" i="1"/>
  <c r="AD273" i="1"/>
  <c r="Q132" i="1"/>
  <c r="AC115" i="1"/>
  <c r="AP93" i="1"/>
  <c r="AJ93" i="1"/>
  <c r="AG109" i="1"/>
  <c r="AS98" i="1"/>
  <c r="AM98" i="1"/>
  <c r="F106" i="1"/>
  <c r="F109" i="1"/>
  <c r="H49" i="1"/>
  <c r="AS264" i="1"/>
  <c r="AM264" i="1"/>
  <c r="AD234" i="1"/>
  <c r="AD300" i="1"/>
  <c r="U243" i="1"/>
  <c r="U247" i="1" s="1"/>
  <c r="AD230" i="1"/>
  <c r="AD285" i="1"/>
  <c r="AA280" i="1"/>
  <c r="AA206" i="1" s="1"/>
  <c r="U197" i="1"/>
  <c r="AS263" i="1"/>
  <c r="AM263" i="1"/>
  <c r="AD246" i="1"/>
  <c r="AP301" i="1"/>
  <c r="AJ301" i="1"/>
  <c r="AG244" i="1"/>
  <c r="AD242" i="1"/>
  <c r="AG239" i="1"/>
  <c r="AG283" i="1"/>
  <c r="AA148" i="1"/>
  <c r="X135" i="1"/>
  <c r="W125" i="1"/>
  <c r="F131" i="1"/>
  <c r="F156" i="1"/>
  <c r="I166" i="1" s="1"/>
  <c r="I120" i="1"/>
  <c r="K54" i="1"/>
  <c r="K62" i="1" s="1"/>
  <c r="AS268" i="1"/>
  <c r="AM268" i="1"/>
  <c r="AP264" i="1"/>
  <c r="AJ264" i="1"/>
  <c r="U289" i="1"/>
  <c r="U291" i="1" s="1"/>
  <c r="U204" i="1" s="1"/>
  <c r="AD243" i="1"/>
  <c r="X254" i="1"/>
  <c r="X258" i="1" s="1"/>
  <c r="X203" i="1" s="1"/>
  <c r="AP228" i="1"/>
  <c r="AJ228" i="1"/>
  <c r="AP261" i="1"/>
  <c r="AJ261" i="1"/>
  <c r="AD269" i="1"/>
  <c r="X247" i="1"/>
  <c r="X283" i="1"/>
  <c r="K27" i="1"/>
  <c r="N27" i="1"/>
  <c r="Q135" i="1"/>
  <c r="R197" i="1"/>
  <c r="Z126" i="1"/>
  <c r="AA136" i="1"/>
  <c r="AD149" i="1"/>
  <c r="Z123" i="1"/>
  <c r="AG110" i="1"/>
  <c r="AS99" i="1"/>
  <c r="AM99" i="1"/>
  <c r="U156" i="1"/>
  <c r="U166" i="1" s="1"/>
  <c r="U120" i="1"/>
  <c r="AJ277" i="1"/>
  <c r="AP277" i="1"/>
  <c r="AR159" i="1"/>
  <c r="AL159" i="1"/>
  <c r="AC38" i="1"/>
  <c r="AP233" i="1"/>
  <c r="AJ233" i="1"/>
  <c r="AJ288" i="1"/>
  <c r="AP288" i="1"/>
  <c r="AD229" i="1"/>
  <c r="AD236" i="1" s="1"/>
  <c r="AD284" i="1"/>
  <c r="AO184" i="1"/>
  <c r="AI184" i="1"/>
  <c r="AD184" i="1"/>
  <c r="Q136" i="1"/>
  <c r="AA182" i="1"/>
  <c r="AA194" i="1" s="1"/>
  <c r="AP81" i="1"/>
  <c r="AJ81" i="1"/>
  <c r="AI81" i="1" s="1"/>
  <c r="AD115" i="1"/>
  <c r="AP104" i="1"/>
  <c r="AJ104" i="1"/>
  <c r="W121" i="1"/>
  <c r="E109" i="1"/>
  <c r="F95" i="1"/>
  <c r="AP268" i="1"/>
  <c r="AJ268" i="1"/>
  <c r="AD256" i="1"/>
  <c r="AD289" i="1"/>
  <c r="U254" i="1"/>
  <c r="U258" i="1" s="1"/>
  <c r="U203" i="1" s="1"/>
  <c r="AD241" i="1"/>
  <c r="AA236" i="1"/>
  <c r="AA269" i="1"/>
  <c r="AA205" i="1" s="1"/>
  <c r="AC49" i="1"/>
  <c r="U202" i="1" l="1"/>
  <c r="AJ302" i="1"/>
  <c r="AP302" i="1"/>
  <c r="AD207" i="1"/>
  <c r="AP236" i="1"/>
  <c r="AJ236" i="1"/>
  <c r="AD170" i="1"/>
  <c r="AP160" i="1"/>
  <c r="AJ160" i="1"/>
  <c r="X202" i="1"/>
  <c r="U122" i="1"/>
  <c r="U158" i="1"/>
  <c r="U168" i="1" s="1"/>
  <c r="AS299" i="1"/>
  <c r="AM299" i="1"/>
  <c r="O70" i="1"/>
  <c r="N77" i="1"/>
  <c r="W109" i="1"/>
  <c r="X95" i="1"/>
  <c r="AD169" i="1"/>
  <c r="AP159" i="1"/>
  <c r="AJ159" i="1"/>
  <c r="AD178" i="1"/>
  <c r="AO178" i="1"/>
  <c r="AI178" i="1"/>
  <c r="AF178" i="1"/>
  <c r="AS301" i="1"/>
  <c r="AM301" i="1"/>
  <c r="AJ143" i="1"/>
  <c r="AP143" i="1"/>
  <c r="AO111" i="1"/>
  <c r="AI111" i="1"/>
  <c r="AC121" i="1"/>
  <c r="AP286" i="1"/>
  <c r="AJ286" i="1"/>
  <c r="E298" i="1"/>
  <c r="F297" i="1"/>
  <c r="AC120" i="1"/>
  <c r="AO110" i="1"/>
  <c r="AI110" i="1"/>
  <c r="AD130" i="1"/>
  <c r="AG143" i="1"/>
  <c r="AP252" i="1"/>
  <c r="AJ252" i="1"/>
  <c r="AG129" i="1"/>
  <c r="AR109" i="1"/>
  <c r="AL109" i="1"/>
  <c r="Z109" i="1"/>
  <c r="AA95" i="1"/>
  <c r="AJ287" i="1"/>
  <c r="AP287" i="1"/>
  <c r="AP75" i="1"/>
  <c r="AJ75" i="1"/>
  <c r="AI75" i="1" s="1"/>
  <c r="AD156" i="1"/>
  <c r="AD120" i="1"/>
  <c r="AP110" i="1"/>
  <c r="AJ110" i="1"/>
  <c r="AO122" i="1"/>
  <c r="AI122" i="1"/>
  <c r="AG169" i="1"/>
  <c r="AS81" i="1"/>
  <c r="AM81" i="1"/>
  <c r="AL81" i="1" s="1"/>
  <c r="AM217" i="1"/>
  <c r="AS217" i="1"/>
  <c r="AG298" i="1"/>
  <c r="AG254" i="1"/>
  <c r="AG243" i="1"/>
  <c r="AG287" i="1"/>
  <c r="AG232" i="1"/>
  <c r="AR241" i="1"/>
  <c r="AL241" i="1"/>
  <c r="E289" i="1"/>
  <c r="F288" i="1"/>
  <c r="H119" i="1"/>
  <c r="F129" i="1"/>
  <c r="AJ269" i="1"/>
  <c r="AP269" i="1"/>
  <c r="AD205" i="1"/>
  <c r="AP230" i="1"/>
  <c r="AJ230" i="1"/>
  <c r="AG155" i="1"/>
  <c r="AS109" i="1"/>
  <c r="AM109" i="1"/>
  <c r="AP242" i="1"/>
  <c r="AJ242" i="1"/>
  <c r="AP246" i="1"/>
  <c r="AJ246" i="1"/>
  <c r="AP273" i="1"/>
  <c r="AJ273" i="1"/>
  <c r="AS246" i="1"/>
  <c r="AM246" i="1"/>
  <c r="AS272" i="1"/>
  <c r="AM272" i="1"/>
  <c r="W145" i="1"/>
  <c r="X68" i="1"/>
  <c r="W78" i="1" s="1"/>
  <c r="Z68" i="1"/>
  <c r="AS184" i="1"/>
  <c r="AM184" i="1"/>
  <c r="AG196" i="1"/>
  <c r="AS233" i="1"/>
  <c r="AM233" i="1"/>
  <c r="Q70" i="1"/>
  <c r="T67" i="1"/>
  <c r="R67" i="1"/>
  <c r="X109" i="1"/>
  <c r="AS82" i="1"/>
  <c r="AM82" i="1"/>
  <c r="AL82" i="1" s="1"/>
  <c r="U132" i="1"/>
  <c r="AA179" i="1"/>
  <c r="AA191" i="1" s="1"/>
  <c r="AC179" i="1"/>
  <c r="AM215" i="1"/>
  <c r="AS215" i="1"/>
  <c r="AG285" i="1"/>
  <c r="AG252" i="1"/>
  <c r="AG241" i="1"/>
  <c r="AG296" i="1"/>
  <c r="AG230" i="1"/>
  <c r="Q133" i="1"/>
  <c r="AJ278" i="1"/>
  <c r="AP278" i="1"/>
  <c r="AJ295" i="1"/>
  <c r="AP295" i="1"/>
  <c r="AS235" i="1"/>
  <c r="AM235" i="1"/>
  <c r="W146" i="1"/>
  <c r="Z69" i="1"/>
  <c r="X69" i="1"/>
  <c r="W79" i="1" s="1"/>
  <c r="AP298" i="1"/>
  <c r="AJ298" i="1"/>
  <c r="AM288" i="1"/>
  <c r="AS288" i="1"/>
  <c r="AO257" i="1"/>
  <c r="AI257" i="1"/>
  <c r="AD257" i="1"/>
  <c r="AS216" i="1"/>
  <c r="AM216" i="1"/>
  <c r="AG242" i="1"/>
  <c r="AG253" i="1"/>
  <c r="AG297" i="1"/>
  <c r="AG231" i="1"/>
  <c r="AG286" i="1"/>
  <c r="AP262" i="1"/>
  <c r="AJ262" i="1"/>
  <c r="AP208" i="1"/>
  <c r="AJ208" i="1"/>
  <c r="T27" i="1"/>
  <c r="Q27" i="1"/>
  <c r="X171" i="1"/>
  <c r="AG149" i="1"/>
  <c r="AO116" i="1"/>
  <c r="AI116" i="1"/>
  <c r="AD136" i="1"/>
  <c r="AC126" i="1"/>
  <c r="AG115" i="1"/>
  <c r="AS104" i="1"/>
  <c r="AM104" i="1"/>
  <c r="AP124" i="1"/>
  <c r="AJ124" i="1"/>
  <c r="AS124" i="1"/>
  <c r="AM124" i="1"/>
  <c r="X185" i="1"/>
  <c r="X189" i="1"/>
  <c r="X197" i="1" s="1"/>
  <c r="AR245" i="1"/>
  <c r="AL245" i="1"/>
  <c r="X166" i="1"/>
  <c r="U133" i="1"/>
  <c r="Z284" i="1"/>
  <c r="AA283" i="1"/>
  <c r="Q302" i="1"/>
  <c r="R207" i="1"/>
  <c r="R185" i="1"/>
  <c r="AP256" i="1"/>
  <c r="AJ256" i="1"/>
  <c r="AS239" i="1"/>
  <c r="AM239" i="1"/>
  <c r="AP241" i="1"/>
  <c r="AJ241" i="1"/>
  <c r="AD161" i="1"/>
  <c r="AD125" i="1"/>
  <c r="AP115" i="1"/>
  <c r="AJ115" i="1"/>
  <c r="AP284" i="1"/>
  <c r="AJ284" i="1"/>
  <c r="AS244" i="1"/>
  <c r="AM244" i="1"/>
  <c r="AJ300" i="1"/>
  <c r="AP300" i="1"/>
  <c r="Q129" i="1"/>
  <c r="U109" i="1"/>
  <c r="U350" i="1"/>
  <c r="U208" i="1" s="1"/>
  <c r="AS228" i="1"/>
  <c r="AM228" i="1"/>
  <c r="AJ297" i="1"/>
  <c r="AP297" i="1"/>
  <c r="AC113" i="1"/>
  <c r="AF123" i="1" s="1"/>
  <c r="AP91" i="1"/>
  <c r="AJ91" i="1"/>
  <c r="AF116" i="1"/>
  <c r="AS94" i="1"/>
  <c r="AM94" i="1"/>
  <c r="X145" i="1"/>
  <c r="AA258" i="1"/>
  <c r="AA203" i="1" s="1"/>
  <c r="AP245" i="1"/>
  <c r="AJ245" i="1"/>
  <c r="AP240" i="1"/>
  <c r="AJ240" i="1"/>
  <c r="AP232" i="1"/>
  <c r="AJ232" i="1"/>
  <c r="AS261" i="1"/>
  <c r="AM261" i="1"/>
  <c r="Q134" i="1"/>
  <c r="AD148" i="1"/>
  <c r="Z125" i="1"/>
  <c r="AA135" i="1"/>
  <c r="E244" i="1"/>
  <c r="F243" i="1"/>
  <c r="AG134" i="1"/>
  <c r="AF124" i="1"/>
  <c r="AR114" i="1"/>
  <c r="AL114" i="1"/>
  <c r="AM95" i="1"/>
  <c r="AP251" i="1"/>
  <c r="AJ251" i="1"/>
  <c r="AA109" i="1"/>
  <c r="AM309" i="1"/>
  <c r="AS309" i="1"/>
  <c r="AG208" i="1"/>
  <c r="X313" i="1"/>
  <c r="AD258" i="1"/>
  <c r="AC109" i="1"/>
  <c r="AD95" i="1"/>
  <c r="AP87" i="1"/>
  <c r="AP95" i="1" s="1"/>
  <c r="AJ87" i="1"/>
  <c r="AJ95" i="1" s="1"/>
  <c r="AS250" i="1"/>
  <c r="AM250" i="1"/>
  <c r="AP147" i="1"/>
  <c r="AJ147" i="1"/>
  <c r="AG160" i="1"/>
  <c r="AA177" i="1"/>
  <c r="AC177" i="1"/>
  <c r="Z185" i="1"/>
  <c r="AR240" i="1"/>
  <c r="AL240" i="1"/>
  <c r="AR242" i="1"/>
  <c r="AL242" i="1"/>
  <c r="AR243" i="1"/>
  <c r="AL243" i="1"/>
  <c r="X146" i="1"/>
  <c r="W285" i="1"/>
  <c r="X284" i="1"/>
  <c r="X314" i="1" s="1"/>
  <c r="R350" i="1"/>
  <c r="R208" i="1" s="1"/>
  <c r="AA202" i="1"/>
  <c r="AP289" i="1"/>
  <c r="AJ289" i="1"/>
  <c r="AP184" i="1"/>
  <c r="AJ184" i="1"/>
  <c r="AD196" i="1"/>
  <c r="AP229" i="1"/>
  <c r="AJ229" i="1"/>
  <c r="AG156" i="1"/>
  <c r="AG120" i="1"/>
  <c r="AS110" i="1"/>
  <c r="AM110" i="1"/>
  <c r="AJ149" i="1"/>
  <c r="AP149" i="1"/>
  <c r="AP243" i="1"/>
  <c r="AJ243" i="1"/>
  <c r="AG291" i="1"/>
  <c r="AS283" i="1"/>
  <c r="AM283" i="1"/>
  <c r="AP285" i="1"/>
  <c r="AJ285" i="1"/>
  <c r="AP234" i="1"/>
  <c r="AJ234" i="1"/>
  <c r="F155" i="1"/>
  <c r="I165" i="1" s="1"/>
  <c r="I119" i="1"/>
  <c r="AD135" i="1"/>
  <c r="AO115" i="1"/>
  <c r="AI115" i="1"/>
  <c r="AC125" i="1"/>
  <c r="AG148" i="1"/>
  <c r="AG130" i="1"/>
  <c r="AF120" i="1"/>
  <c r="AR110" i="1"/>
  <c r="AL110" i="1"/>
  <c r="AD280" i="1"/>
  <c r="AP254" i="1"/>
  <c r="AJ254" i="1"/>
  <c r="AD162" i="1"/>
  <c r="AD126" i="1"/>
  <c r="AP116" i="1"/>
  <c r="AJ116" i="1"/>
  <c r="AP231" i="1"/>
  <c r="AJ231" i="1"/>
  <c r="AR113" i="1"/>
  <c r="AL113" i="1"/>
  <c r="AG116" i="1"/>
  <c r="AS105" i="1"/>
  <c r="AM105" i="1"/>
  <c r="E233" i="1"/>
  <c r="F232" i="1"/>
  <c r="AP244" i="1"/>
  <c r="AJ244" i="1"/>
  <c r="AD247" i="1"/>
  <c r="AP182" i="1"/>
  <c r="AJ182" i="1"/>
  <c r="AD194" i="1"/>
  <c r="AA161" i="1"/>
  <c r="AA171" i="1" s="1"/>
  <c r="AA125" i="1"/>
  <c r="AM219" i="1"/>
  <c r="AS219" i="1"/>
  <c r="AG256" i="1"/>
  <c r="AG300" i="1"/>
  <c r="AG278" i="1"/>
  <c r="AG280" i="1" s="1"/>
  <c r="AG289" i="1"/>
  <c r="AG234" i="1"/>
  <c r="AG267" i="1"/>
  <c r="AG245" i="1"/>
  <c r="O209" i="1"/>
  <c r="O210" i="1" s="1"/>
  <c r="Q280" i="1"/>
  <c r="R206" i="1"/>
  <c r="R209" i="1" s="1"/>
  <c r="R210" i="1" s="1"/>
  <c r="AG147" i="1"/>
  <c r="AC124" i="1"/>
  <c r="AO114" i="1"/>
  <c r="AI114" i="1"/>
  <c r="AD134" i="1"/>
  <c r="AS182" i="1"/>
  <c r="AM182" i="1"/>
  <c r="AG194" i="1"/>
  <c r="AR122" i="1"/>
  <c r="AL122" i="1"/>
  <c r="Q131" i="1"/>
  <c r="AD291" i="1"/>
  <c r="AD109" i="1"/>
  <c r="AP98" i="1"/>
  <c r="AJ98" i="1"/>
  <c r="AS255" i="1"/>
  <c r="AM255" i="1"/>
  <c r="AF111" i="1"/>
  <c r="AS89" i="1"/>
  <c r="AS95" i="1" s="1"/>
  <c r="AM89" i="1"/>
  <c r="AF115" i="1"/>
  <c r="AS93" i="1"/>
  <c r="AM93" i="1"/>
  <c r="AS214" i="1"/>
  <c r="AM214" i="1"/>
  <c r="AG284" i="1"/>
  <c r="AG251" i="1"/>
  <c r="AG295" i="1"/>
  <c r="AG240" i="1"/>
  <c r="AG262" i="1"/>
  <c r="AG229" i="1"/>
  <c r="AG273" i="1"/>
  <c r="AF257" i="1"/>
  <c r="AR256" i="1"/>
  <c r="AL256" i="1"/>
  <c r="AR244" i="1"/>
  <c r="AL244" i="1"/>
  <c r="AR246" i="1"/>
  <c r="AL246" i="1"/>
  <c r="X170" i="1"/>
  <c r="AR123" i="1" l="1"/>
  <c r="AL123" i="1"/>
  <c r="AM280" i="1"/>
  <c r="AS280" i="1"/>
  <c r="AG206" i="1"/>
  <c r="AS240" i="1"/>
  <c r="AM240" i="1"/>
  <c r="AJ134" i="1"/>
  <c r="AP134" i="1"/>
  <c r="AS245" i="1"/>
  <c r="AM245" i="1"/>
  <c r="AP126" i="1"/>
  <c r="AJ126" i="1"/>
  <c r="AG170" i="1"/>
  <c r="AS160" i="1"/>
  <c r="AM160" i="1"/>
  <c r="AP136" i="1"/>
  <c r="AJ136" i="1"/>
  <c r="T144" i="1"/>
  <c r="T150" i="1" s="1"/>
  <c r="U152" i="1" s="1"/>
  <c r="T70" i="1"/>
  <c r="W67" i="1"/>
  <c r="U67" i="1"/>
  <c r="X78" i="1"/>
  <c r="X101" i="1"/>
  <c r="X112" i="1" s="1"/>
  <c r="F137" i="1"/>
  <c r="AS169" i="1"/>
  <c r="AM169" i="1"/>
  <c r="AO121" i="1"/>
  <c r="AI121" i="1"/>
  <c r="N83" i="1"/>
  <c r="N137" i="1" s="1"/>
  <c r="O77" i="1"/>
  <c r="O83" i="1" s="1"/>
  <c r="O139" i="1" s="1"/>
  <c r="N139" i="1" s="1"/>
  <c r="N131" i="1"/>
  <c r="AP207" i="1"/>
  <c r="AJ207" i="1"/>
  <c r="AS273" i="1"/>
  <c r="AM273" i="1"/>
  <c r="AM295" i="1"/>
  <c r="AS295" i="1"/>
  <c r="AG302" i="1"/>
  <c r="AS267" i="1"/>
  <c r="AM267" i="1"/>
  <c r="AS300" i="1"/>
  <c r="AM300" i="1"/>
  <c r="AD172" i="1"/>
  <c r="AP162" i="1"/>
  <c r="AJ162" i="1"/>
  <c r="AM148" i="1"/>
  <c r="AS148" i="1"/>
  <c r="AJ135" i="1"/>
  <c r="AP135" i="1"/>
  <c r="AS120" i="1"/>
  <c r="AM120" i="1"/>
  <c r="AJ196" i="1"/>
  <c r="AP196" i="1"/>
  <c r="W286" i="1"/>
  <c r="X285" i="1"/>
  <c r="X315" i="1" s="1"/>
  <c r="AG142" i="1"/>
  <c r="AO109" i="1"/>
  <c r="AI109" i="1"/>
  <c r="AC119" i="1"/>
  <c r="AD129" i="1"/>
  <c r="AA155" i="1"/>
  <c r="AA119" i="1"/>
  <c r="AJ148" i="1"/>
  <c r="AP148" i="1"/>
  <c r="AG269" i="1"/>
  <c r="AG136" i="1"/>
  <c r="AF126" i="1"/>
  <c r="AR116" i="1"/>
  <c r="AL116" i="1"/>
  <c r="U155" i="1"/>
  <c r="U165" i="1" s="1"/>
  <c r="U119" i="1"/>
  <c r="U129" i="1"/>
  <c r="X142" i="1"/>
  <c r="AM297" i="1"/>
  <c r="AS297" i="1"/>
  <c r="X79" i="1"/>
  <c r="X102" i="1"/>
  <c r="X113" i="1" s="1"/>
  <c r="AS241" i="1"/>
  <c r="AM241" i="1"/>
  <c r="X155" i="1"/>
  <c r="X165" i="1" s="1"/>
  <c r="X119" i="1"/>
  <c r="AP205" i="1"/>
  <c r="AJ205" i="1"/>
  <c r="AM254" i="1"/>
  <c r="AS254" i="1"/>
  <c r="AP120" i="1"/>
  <c r="AJ120" i="1"/>
  <c r="AF119" i="1"/>
  <c r="AM143" i="1"/>
  <c r="AS143" i="1"/>
  <c r="AO120" i="1"/>
  <c r="AI120" i="1"/>
  <c r="AP178" i="1"/>
  <c r="AJ178" i="1"/>
  <c r="AD190" i="1"/>
  <c r="AJ169" i="1"/>
  <c r="AP169" i="1"/>
  <c r="AR257" i="1"/>
  <c r="AL257" i="1"/>
  <c r="AG257" i="1"/>
  <c r="AG135" i="1"/>
  <c r="AF125" i="1"/>
  <c r="AR115" i="1"/>
  <c r="AL115" i="1"/>
  <c r="AD155" i="1"/>
  <c r="AD119" i="1"/>
  <c r="AP109" i="1"/>
  <c r="AJ109" i="1"/>
  <c r="AS194" i="1"/>
  <c r="AM194" i="1"/>
  <c r="AM147" i="1"/>
  <c r="AS147" i="1"/>
  <c r="AS278" i="1"/>
  <c r="AM278" i="1"/>
  <c r="AP280" i="1"/>
  <c r="AJ280" i="1"/>
  <c r="AD206" i="1"/>
  <c r="AS130" i="1"/>
  <c r="AM130" i="1"/>
  <c r="AS208" i="1"/>
  <c r="AM208" i="1"/>
  <c r="AS134" i="1"/>
  <c r="AM134" i="1"/>
  <c r="AO113" i="1"/>
  <c r="AI113" i="1"/>
  <c r="AC123" i="1"/>
  <c r="AG247" i="1"/>
  <c r="Z285" i="1"/>
  <c r="AA284" i="1"/>
  <c r="AA314" i="1" s="1"/>
  <c r="AS231" i="1"/>
  <c r="AM231" i="1"/>
  <c r="AS296" i="1"/>
  <c r="AM296" i="1"/>
  <c r="AM196" i="1"/>
  <c r="AS196" i="1"/>
  <c r="AS243" i="1"/>
  <c r="AM243" i="1"/>
  <c r="AS229" i="1"/>
  <c r="AM229" i="1"/>
  <c r="AS251" i="1"/>
  <c r="AM251" i="1"/>
  <c r="AP291" i="1"/>
  <c r="AJ291" i="1"/>
  <c r="AJ353" i="1" s="1"/>
  <c r="AD204" i="1"/>
  <c r="AS234" i="1"/>
  <c r="AM234" i="1"/>
  <c r="AS256" i="1"/>
  <c r="AM256" i="1"/>
  <c r="AP247" i="1"/>
  <c r="AJ247" i="1"/>
  <c r="E234" i="1"/>
  <c r="F233" i="1"/>
  <c r="AG126" i="1"/>
  <c r="AG162" i="1"/>
  <c r="AS116" i="1"/>
  <c r="AM116" i="1"/>
  <c r="AO125" i="1"/>
  <c r="AI125" i="1"/>
  <c r="AS291" i="1"/>
  <c r="AM291" i="1"/>
  <c r="AG204" i="1"/>
  <c r="AG166" i="1"/>
  <c r="AS156" i="1"/>
  <c r="AM156" i="1"/>
  <c r="AC185" i="1"/>
  <c r="AF177" i="1"/>
  <c r="AO177" i="1"/>
  <c r="AI177" i="1"/>
  <c r="AD177" i="1"/>
  <c r="AP258" i="1"/>
  <c r="AJ258" i="1"/>
  <c r="AD203" i="1"/>
  <c r="E245" i="1"/>
  <c r="F244" i="1"/>
  <c r="AG236" i="1"/>
  <c r="AP125" i="1"/>
  <c r="AJ125" i="1"/>
  <c r="AG161" i="1"/>
  <c r="AS115" i="1"/>
  <c r="AM115" i="1"/>
  <c r="AG125" i="1"/>
  <c r="AS253" i="1"/>
  <c r="AM253" i="1"/>
  <c r="AP257" i="1"/>
  <c r="AJ257" i="1"/>
  <c r="Z146" i="1"/>
  <c r="AC69" i="1"/>
  <c r="AA69" i="1"/>
  <c r="Z79" i="1" s="1"/>
  <c r="AS252" i="1"/>
  <c r="AM252" i="1"/>
  <c r="AF179" i="1"/>
  <c r="AO179" i="1"/>
  <c r="AI179" i="1"/>
  <c r="AD179" i="1"/>
  <c r="AG165" i="1"/>
  <c r="AM155" i="1"/>
  <c r="AS155" i="1"/>
  <c r="AS232" i="1"/>
  <c r="AM232" i="1"/>
  <c r="AM298" i="1"/>
  <c r="AS298" i="1"/>
  <c r="AD166" i="1"/>
  <c r="AJ156" i="1"/>
  <c r="AP156" i="1"/>
  <c r="AD142" i="1"/>
  <c r="AA129" i="1"/>
  <c r="Z119" i="1"/>
  <c r="AS129" i="1"/>
  <c r="AM129" i="1"/>
  <c r="AP130" i="1"/>
  <c r="AJ130" i="1"/>
  <c r="AR178" i="1"/>
  <c r="AL178" i="1"/>
  <c r="AG178" i="1"/>
  <c r="AP170" i="1"/>
  <c r="AJ170" i="1"/>
  <c r="AS262" i="1"/>
  <c r="AM262" i="1"/>
  <c r="AS284" i="1"/>
  <c r="AM284" i="1"/>
  <c r="AF121" i="1"/>
  <c r="AR111" i="1"/>
  <c r="AL111" i="1"/>
  <c r="AO124" i="1"/>
  <c r="AI124" i="1"/>
  <c r="AM289" i="1"/>
  <c r="AS289" i="1"/>
  <c r="AP194" i="1"/>
  <c r="AJ194" i="1"/>
  <c r="AR120" i="1"/>
  <c r="AL120" i="1"/>
  <c r="AA185" i="1"/>
  <c r="AA189" i="1"/>
  <c r="AA197" i="1" s="1"/>
  <c r="X350" i="1"/>
  <c r="X208" i="1" s="1"/>
  <c r="AR124" i="1"/>
  <c r="AL124" i="1"/>
  <c r="AD171" i="1"/>
  <c r="AP161" i="1"/>
  <c r="AJ161" i="1"/>
  <c r="AA313" i="1"/>
  <c r="AI126" i="1"/>
  <c r="AO126" i="1"/>
  <c r="AS149" i="1"/>
  <c r="AM149" i="1"/>
  <c r="AS286" i="1"/>
  <c r="AM286" i="1"/>
  <c r="AS242" i="1"/>
  <c r="AM242" i="1"/>
  <c r="AS230" i="1"/>
  <c r="AM230" i="1"/>
  <c r="AS285" i="1"/>
  <c r="AM285" i="1"/>
  <c r="Q77" i="1"/>
  <c r="R70" i="1"/>
  <c r="Z145" i="1"/>
  <c r="AC68" i="1"/>
  <c r="AA68" i="1"/>
  <c r="Z78" i="1" s="1"/>
  <c r="AG119" i="1"/>
  <c r="F289" i="1"/>
  <c r="E290" i="1"/>
  <c r="F290" i="1" s="1"/>
  <c r="F291" i="1" s="1"/>
  <c r="F204" i="1" s="1"/>
  <c r="AS287" i="1"/>
  <c r="AM287" i="1"/>
  <c r="E299" i="1"/>
  <c r="F298" i="1"/>
  <c r="AA142" i="1"/>
  <c r="X129" i="1"/>
  <c r="W119" i="1"/>
  <c r="AD202" i="1"/>
  <c r="AD353" i="1"/>
  <c r="U209" i="1"/>
  <c r="U210" i="1" s="1"/>
  <c r="AJ166" i="1" l="1"/>
  <c r="AP166" i="1"/>
  <c r="AG179" i="1"/>
  <c r="AR179" i="1"/>
  <c r="AL179" i="1"/>
  <c r="AL126" i="1"/>
  <c r="AR126" i="1"/>
  <c r="AJ172" i="1"/>
  <c r="AP172" i="1"/>
  <c r="F139" i="1"/>
  <c r="E139" i="1" s="1"/>
  <c r="E134" i="1"/>
  <c r="E136" i="1"/>
  <c r="E133" i="1"/>
  <c r="E132" i="1"/>
  <c r="E131" i="1"/>
  <c r="E130" i="1"/>
  <c r="E135" i="1"/>
  <c r="AS206" i="1"/>
  <c r="AM206" i="1"/>
  <c r="AC146" i="1"/>
  <c r="AO69" i="1"/>
  <c r="AI69" i="1"/>
  <c r="AF69" i="1"/>
  <c r="AD69" i="1"/>
  <c r="AM302" i="1"/>
  <c r="AS302" i="1"/>
  <c r="AG207" i="1"/>
  <c r="X158" i="1"/>
  <c r="X168" i="1" s="1"/>
  <c r="X122" i="1"/>
  <c r="AA145" i="1"/>
  <c r="X132" i="1"/>
  <c r="AJ202" i="1"/>
  <c r="AD209" i="1"/>
  <c r="AP202" i="1"/>
  <c r="AC145" i="1"/>
  <c r="AD68" i="1"/>
  <c r="AO68" i="1"/>
  <c r="AI68" i="1"/>
  <c r="AF68" i="1"/>
  <c r="AP203" i="1"/>
  <c r="AJ203" i="1"/>
  <c r="AS204" i="1"/>
  <c r="AM204" i="1"/>
  <c r="AO123" i="1"/>
  <c r="AI123" i="1"/>
  <c r="X123" i="1"/>
  <c r="AA146" i="1"/>
  <c r="X133" i="1"/>
  <c r="AO119" i="1"/>
  <c r="AI119" i="1"/>
  <c r="E300" i="1"/>
  <c r="F299" i="1"/>
  <c r="AP179" i="1"/>
  <c r="AJ179" i="1"/>
  <c r="AD191" i="1"/>
  <c r="AJ204" i="1"/>
  <c r="AP204" i="1"/>
  <c r="AR119" i="1"/>
  <c r="AL119" i="1"/>
  <c r="AS136" i="1"/>
  <c r="AM136" i="1"/>
  <c r="W287" i="1"/>
  <c r="X286" i="1"/>
  <c r="AS119" i="1"/>
  <c r="AM119" i="1"/>
  <c r="AR121" i="1"/>
  <c r="AL121" i="1"/>
  <c r="AS125" i="1"/>
  <c r="AM125" i="1"/>
  <c r="E246" i="1"/>
  <c r="F246" i="1" s="1"/>
  <c r="F247" i="1" s="1"/>
  <c r="F245" i="1"/>
  <c r="AG177" i="1"/>
  <c r="AR177" i="1"/>
  <c r="AL177" i="1"/>
  <c r="AF185" i="1"/>
  <c r="E235" i="1"/>
  <c r="F235" i="1" s="1"/>
  <c r="F236" i="1" s="1"/>
  <c r="F234" i="1"/>
  <c r="Z286" i="1"/>
  <c r="AA285" i="1"/>
  <c r="AP119" i="1"/>
  <c r="AJ119" i="1"/>
  <c r="AR125" i="1"/>
  <c r="AL125" i="1"/>
  <c r="AP190" i="1"/>
  <c r="AJ190" i="1"/>
  <c r="AS269" i="1"/>
  <c r="AM269" i="1"/>
  <c r="AG205" i="1"/>
  <c r="AA165" i="1"/>
  <c r="AP171" i="1"/>
  <c r="AJ171" i="1"/>
  <c r="AS236" i="1"/>
  <c r="AM236" i="1"/>
  <c r="AG202" i="1"/>
  <c r="AS126" i="1"/>
  <c r="AM126" i="1"/>
  <c r="AS257" i="1"/>
  <c r="AM257" i="1"/>
  <c r="W144" i="1"/>
  <c r="W150" i="1" s="1"/>
  <c r="W70" i="1"/>
  <c r="Z67" i="1"/>
  <c r="X67" i="1"/>
  <c r="AP142" i="1"/>
  <c r="AJ142" i="1"/>
  <c r="AG171" i="1"/>
  <c r="AS161" i="1"/>
  <c r="AM161" i="1"/>
  <c r="AD354" i="1"/>
  <c r="AA78" i="1"/>
  <c r="AA101" i="1"/>
  <c r="AA112" i="1" s="1"/>
  <c r="Q83" i="1"/>
  <c r="R77" i="1"/>
  <c r="R83" i="1" s="1"/>
  <c r="R139" i="1" s="1"/>
  <c r="Q139" i="1" s="1"/>
  <c r="AM178" i="1"/>
  <c r="AS178" i="1"/>
  <c r="AG190" i="1"/>
  <c r="AM165" i="1"/>
  <c r="AS165" i="1"/>
  <c r="AA79" i="1"/>
  <c r="AA102" i="1"/>
  <c r="AA113" i="1" s="1"/>
  <c r="AD185" i="1"/>
  <c r="AP177" i="1"/>
  <c r="AJ177" i="1"/>
  <c r="AD189" i="1"/>
  <c r="AO185" i="1"/>
  <c r="AI185" i="1"/>
  <c r="AS166" i="1"/>
  <c r="AM166" i="1"/>
  <c r="AG172" i="1"/>
  <c r="AS162" i="1"/>
  <c r="AM162" i="1"/>
  <c r="AP353" i="1"/>
  <c r="AS247" i="1"/>
  <c r="AM247" i="1"/>
  <c r="AJ206" i="1"/>
  <c r="AP206" i="1"/>
  <c r="AP155" i="1"/>
  <c r="AJ155" i="1"/>
  <c r="AD165" i="1"/>
  <c r="AS135" i="1"/>
  <c r="AM135" i="1"/>
  <c r="AJ129" i="1"/>
  <c r="AP129" i="1"/>
  <c r="AM142" i="1"/>
  <c r="AS142" i="1"/>
  <c r="E129" i="1"/>
  <c r="U70" i="1"/>
  <c r="T77" i="1"/>
  <c r="AS170" i="1"/>
  <c r="AM170" i="1"/>
  <c r="AG258" i="1"/>
  <c r="T83" i="1" l="1"/>
  <c r="U77" i="1"/>
  <c r="AS258" i="1"/>
  <c r="AM258" i="1"/>
  <c r="AG203" i="1"/>
  <c r="AJ165" i="1"/>
  <c r="AP165" i="1"/>
  <c r="AA158" i="1"/>
  <c r="AA168" i="1" s="1"/>
  <c r="AA122" i="1"/>
  <c r="AD145" i="1"/>
  <c r="AA132" i="1"/>
  <c r="Z287" i="1"/>
  <c r="AA286" i="1"/>
  <c r="AP209" i="1"/>
  <c r="AJ209" i="1"/>
  <c r="AJ354" i="1" s="1"/>
  <c r="AC209" i="1"/>
  <c r="AD358" i="1"/>
  <c r="AS353" i="1"/>
  <c r="AM205" i="1"/>
  <c r="AS205" i="1"/>
  <c r="AC78" i="1"/>
  <c r="AP68" i="1"/>
  <c r="AJ68" i="1"/>
  <c r="AM353" i="1"/>
  <c r="AM172" i="1"/>
  <c r="AS172" i="1"/>
  <c r="AP185" i="1"/>
  <c r="AJ185" i="1"/>
  <c r="AM171" i="1"/>
  <c r="AS171" i="1"/>
  <c r="W77" i="1"/>
  <c r="X70" i="1"/>
  <c r="AG209" i="1"/>
  <c r="AS202" i="1"/>
  <c r="AM202" i="1"/>
  <c r="H236" i="1"/>
  <c r="F202" i="1"/>
  <c r="AS177" i="1"/>
  <c r="AM177" i="1"/>
  <c r="AG185" i="1"/>
  <c r="AG189" i="1"/>
  <c r="W288" i="1"/>
  <c r="X287" i="1"/>
  <c r="AP191" i="1"/>
  <c r="AJ191" i="1"/>
  <c r="E301" i="1"/>
  <c r="F301" i="1" s="1"/>
  <c r="F302" i="1" s="1"/>
  <c r="F207" i="1" s="1"/>
  <c r="F300" i="1"/>
  <c r="AF145" i="1"/>
  <c r="AG68" i="1"/>
  <c r="AR68" i="1"/>
  <c r="AL68" i="1"/>
  <c r="AO145" i="1"/>
  <c r="AI145" i="1"/>
  <c r="AG353" i="1"/>
  <c r="AG354" i="1" s="1"/>
  <c r="AC79" i="1"/>
  <c r="AP69" i="1"/>
  <c r="AJ69" i="1"/>
  <c r="AO146" i="1"/>
  <c r="AI146" i="1"/>
  <c r="AP354" i="1"/>
  <c r="AD197" i="1"/>
  <c r="AJ189" i="1"/>
  <c r="AP189" i="1"/>
  <c r="AA123" i="1"/>
  <c r="AA133" i="1"/>
  <c r="AD146" i="1"/>
  <c r="AM190" i="1"/>
  <c r="AS190" i="1"/>
  <c r="Z144" i="1"/>
  <c r="Z150" i="1" s="1"/>
  <c r="Z70" i="1"/>
  <c r="AC67" i="1"/>
  <c r="AA67" i="1"/>
  <c r="AA315" i="1"/>
  <c r="AA350" i="1" s="1"/>
  <c r="AL185" i="1"/>
  <c r="AR185" i="1"/>
  <c r="AS207" i="1"/>
  <c r="AM207" i="1"/>
  <c r="AF146" i="1"/>
  <c r="AG69" i="1"/>
  <c r="AR69" i="1"/>
  <c r="AL69" i="1"/>
  <c r="AS179" i="1"/>
  <c r="AM179" i="1"/>
  <c r="AG191" i="1"/>
  <c r="AC144" i="1" l="1"/>
  <c r="AC70" i="1"/>
  <c r="AF67" i="1"/>
  <c r="AD67" i="1"/>
  <c r="AO67" i="1"/>
  <c r="AI67" i="1"/>
  <c r="AO79" i="1"/>
  <c r="AD79" i="1"/>
  <c r="AD102" i="1"/>
  <c r="AR145" i="1"/>
  <c r="AL145" i="1"/>
  <c r="AS185" i="1"/>
  <c r="AM185" i="1"/>
  <c r="AJ146" i="1"/>
  <c r="AP146" i="1"/>
  <c r="W83" i="1"/>
  <c r="X77" i="1"/>
  <c r="X83" i="1" s="1"/>
  <c r="X100" i="1"/>
  <c r="AP145" i="1"/>
  <c r="AJ145" i="1"/>
  <c r="U100" i="1"/>
  <c r="U83" i="1"/>
  <c r="AR146" i="1"/>
  <c r="AL146" i="1"/>
  <c r="AS191" i="1"/>
  <c r="AM191" i="1"/>
  <c r="AP197" i="1"/>
  <c r="AJ197" i="1"/>
  <c r="W289" i="1"/>
  <c r="X288" i="1"/>
  <c r="AM203" i="1"/>
  <c r="AS203" i="1"/>
  <c r="AA208" i="1"/>
  <c r="AS69" i="1"/>
  <c r="AM69" i="1"/>
  <c r="AF79" i="1"/>
  <c r="AA70" i="1"/>
  <c r="Z77" i="1"/>
  <c r="AF78" i="1"/>
  <c r="AS68" i="1"/>
  <c r="AM68" i="1"/>
  <c r="AM189" i="1"/>
  <c r="AG197" i="1"/>
  <c r="AS189" i="1"/>
  <c r="F209" i="1"/>
  <c r="I210" i="1" s="1"/>
  <c r="AS209" i="1"/>
  <c r="AS354" i="1" s="1"/>
  <c r="AF209" i="1"/>
  <c r="AG210" i="1"/>
  <c r="AM209" i="1"/>
  <c r="AM354" i="1" s="1"/>
  <c r="AG358" i="1"/>
  <c r="AO78" i="1"/>
  <c r="AD78" i="1"/>
  <c r="AD101" i="1"/>
  <c r="Z288" i="1"/>
  <c r="AA287" i="1"/>
  <c r="AG79" i="1" l="1"/>
  <c r="AR79" i="1"/>
  <c r="AG102" i="1"/>
  <c r="W290" i="1"/>
  <c r="X290" i="1" s="1"/>
  <c r="X291" i="1" s="1"/>
  <c r="X204" i="1" s="1"/>
  <c r="X209" i="1" s="1"/>
  <c r="X210" i="1" s="1"/>
  <c r="X289" i="1"/>
  <c r="X111" i="1"/>
  <c r="X106" i="1"/>
  <c r="AP79" i="1"/>
  <c r="AJ79" i="1"/>
  <c r="AI79" i="1" s="1"/>
  <c r="AC77" i="1"/>
  <c r="AP67" i="1"/>
  <c r="AJ67" i="1"/>
  <c r="AD70" i="1"/>
  <c r="AP78" i="1"/>
  <c r="AJ78" i="1"/>
  <c r="AI78" i="1" s="1"/>
  <c r="AM197" i="1"/>
  <c r="AS197" i="1"/>
  <c r="AG78" i="1"/>
  <c r="AR78" i="1"/>
  <c r="AG101" i="1"/>
  <c r="U111" i="1"/>
  <c r="U106" i="1"/>
  <c r="AF144" i="1"/>
  <c r="AR67" i="1"/>
  <c r="AL67" i="1"/>
  <c r="AF70" i="1"/>
  <c r="AG67" i="1"/>
  <c r="AM210" i="1"/>
  <c r="AS210" i="1"/>
  <c r="Z83" i="1"/>
  <c r="AA77" i="1"/>
  <c r="AA83" i="1" s="1"/>
  <c r="AA100" i="1"/>
  <c r="AO70" i="1"/>
  <c r="AI70" i="1"/>
  <c r="Z289" i="1"/>
  <c r="AA288" i="1"/>
  <c r="AP101" i="1"/>
  <c r="AJ101" i="1"/>
  <c r="AD112" i="1"/>
  <c r="AD113" i="1"/>
  <c r="AP102" i="1"/>
  <c r="AJ102" i="1"/>
  <c r="AI144" i="1"/>
  <c r="AI150" i="1" s="1"/>
  <c r="AC150" i="1"/>
  <c r="AO144" i="1"/>
  <c r="AO150" i="1" s="1"/>
  <c r="AD158" i="1" l="1"/>
  <c r="AD122" i="1"/>
  <c r="AP112" i="1"/>
  <c r="AJ112" i="1"/>
  <c r="AD132" i="1"/>
  <c r="AG145" i="1"/>
  <c r="Z290" i="1"/>
  <c r="AA290" i="1" s="1"/>
  <c r="AA289" i="1"/>
  <c r="AA291" i="1" s="1"/>
  <c r="AA111" i="1"/>
  <c r="AA106" i="1"/>
  <c r="AG112" i="1"/>
  <c r="AS101" i="1"/>
  <c r="AM101" i="1"/>
  <c r="AG70" i="1"/>
  <c r="AF77" i="1"/>
  <c r="AS67" i="1"/>
  <c r="AM67" i="1"/>
  <c r="AF150" i="1"/>
  <c r="AR144" i="1"/>
  <c r="AR150" i="1" s="1"/>
  <c r="AL144" i="1"/>
  <c r="AL150" i="1" s="1"/>
  <c r="AG113" i="1"/>
  <c r="AS102" i="1"/>
  <c r="AM102" i="1"/>
  <c r="AR70" i="1"/>
  <c r="AL70" i="1"/>
  <c r="AS78" i="1"/>
  <c r="AM78" i="1"/>
  <c r="AL78" i="1" s="1"/>
  <c r="AO77" i="1"/>
  <c r="AC83" i="1"/>
  <c r="AO83" i="1" s="1"/>
  <c r="AD77" i="1"/>
  <c r="AD100" i="1"/>
  <c r="X121" i="1"/>
  <c r="AA144" i="1"/>
  <c r="AA150" i="1" s="1"/>
  <c r="X157" i="1"/>
  <c r="X167" i="1" s="1"/>
  <c r="X131" i="1"/>
  <c r="AD123" i="1"/>
  <c r="AP113" i="1"/>
  <c r="AJ113" i="1"/>
  <c r="AD133" i="1"/>
  <c r="AG146" i="1"/>
  <c r="U121" i="1"/>
  <c r="U157" i="1"/>
  <c r="U167" i="1" s="1"/>
  <c r="U131" i="1"/>
  <c r="X144" i="1"/>
  <c r="X150" i="1" s="1"/>
  <c r="AP70" i="1"/>
  <c r="AJ70" i="1"/>
  <c r="AS79" i="1"/>
  <c r="AM79" i="1"/>
  <c r="AL79" i="1" s="1"/>
  <c r="AA204" i="1" l="1"/>
  <c r="AA209" i="1" s="1"/>
  <c r="AA353" i="1"/>
  <c r="AA354" i="1" s="1"/>
  <c r="X152" i="1"/>
  <c r="AS146" i="1"/>
  <c r="AM146" i="1"/>
  <c r="AP123" i="1"/>
  <c r="AJ123" i="1"/>
  <c r="AA152" i="1"/>
  <c r="AF83" i="1"/>
  <c r="AR83" i="1" s="1"/>
  <c r="AG77" i="1"/>
  <c r="AR77" i="1"/>
  <c r="AG100" i="1"/>
  <c r="AG158" i="1"/>
  <c r="AG122" i="1"/>
  <c r="AS112" i="1"/>
  <c r="AM112" i="1"/>
  <c r="AG132" i="1"/>
  <c r="T131" i="1"/>
  <c r="U137" i="1"/>
  <c r="AS70" i="1"/>
  <c r="AM70" i="1"/>
  <c r="AM145" i="1"/>
  <c r="AS145" i="1"/>
  <c r="AP122" i="1"/>
  <c r="AJ122" i="1"/>
  <c r="AP77" i="1"/>
  <c r="AJ77" i="1"/>
  <c r="AI77" i="1" s="1"/>
  <c r="AD83" i="1"/>
  <c r="AP133" i="1"/>
  <c r="AJ133" i="1"/>
  <c r="W131" i="1"/>
  <c r="X137" i="1"/>
  <c r="W152" i="1" s="1"/>
  <c r="AD111" i="1"/>
  <c r="AP100" i="1"/>
  <c r="AP106" i="1" s="1"/>
  <c r="AJ100" i="1"/>
  <c r="AJ106" i="1" s="1"/>
  <c r="AD106" i="1"/>
  <c r="AS113" i="1"/>
  <c r="AM113" i="1"/>
  <c r="AG123" i="1"/>
  <c r="AG133" i="1"/>
  <c r="AA121" i="1"/>
  <c r="AA157" i="1"/>
  <c r="AA167" i="1" s="1"/>
  <c r="AA131" i="1"/>
  <c r="AA137" i="1" s="1"/>
  <c r="AA139" i="1" s="1"/>
  <c r="Z139" i="1" s="1"/>
  <c r="AD144" i="1"/>
  <c r="AJ132" i="1"/>
  <c r="AP132" i="1"/>
  <c r="AD168" i="1"/>
  <c r="AP158" i="1"/>
  <c r="AJ158" i="1"/>
  <c r="U139" i="1" l="1"/>
  <c r="T139" i="1" s="1"/>
  <c r="T136" i="1"/>
  <c r="T130" i="1"/>
  <c r="T152" i="1"/>
  <c r="T135" i="1"/>
  <c r="T134" i="1"/>
  <c r="T132" i="1"/>
  <c r="T137" i="1" s="1"/>
  <c r="T133" i="1"/>
  <c r="T129" i="1"/>
  <c r="AG111" i="1"/>
  <c r="AS100" i="1"/>
  <c r="AS106" i="1" s="1"/>
  <c r="AM100" i="1"/>
  <c r="AM106" i="1" s="1"/>
  <c r="AG106" i="1"/>
  <c r="AJ168" i="1"/>
  <c r="AP168" i="1"/>
  <c r="AS132" i="1"/>
  <c r="AM132" i="1"/>
  <c r="AD121" i="1"/>
  <c r="AP111" i="1"/>
  <c r="AJ111" i="1"/>
  <c r="AD157" i="1"/>
  <c r="AG144" i="1"/>
  <c r="AD131" i="1"/>
  <c r="AS123" i="1"/>
  <c r="AM123" i="1"/>
  <c r="AG168" i="1"/>
  <c r="AM158" i="1"/>
  <c r="AS158" i="1"/>
  <c r="AP144" i="1"/>
  <c r="AJ144" i="1"/>
  <c r="AD150" i="1"/>
  <c r="AS133" i="1"/>
  <c r="AM133" i="1"/>
  <c r="X139" i="1"/>
  <c r="W139" i="1" s="1"/>
  <c r="W136" i="1"/>
  <c r="W135" i="1"/>
  <c r="W134" i="1"/>
  <c r="W130" i="1"/>
  <c r="W129" i="1"/>
  <c r="W132" i="1"/>
  <c r="W137" i="1" s="1"/>
  <c r="W133" i="1"/>
  <c r="AP83" i="1"/>
  <c r="AJ83" i="1"/>
  <c r="AI83" i="1" s="1"/>
  <c r="AS122" i="1"/>
  <c r="AM122" i="1"/>
  <c r="AS77" i="1"/>
  <c r="AM77" i="1"/>
  <c r="AL77" i="1" s="1"/>
  <c r="AG83" i="1"/>
  <c r="Z152" i="1"/>
  <c r="AA210" i="1"/>
  <c r="AD210" i="1"/>
  <c r="AS111" i="1" l="1"/>
  <c r="AM111" i="1"/>
  <c r="AG121" i="1"/>
  <c r="AG157" i="1"/>
  <c r="AG131" i="1"/>
  <c r="AM168" i="1"/>
  <c r="AS168" i="1"/>
  <c r="AP121" i="1"/>
  <c r="AJ121" i="1"/>
  <c r="AS83" i="1"/>
  <c r="AM83" i="1"/>
  <c r="AL83" i="1" s="1"/>
  <c r="AD167" i="1"/>
  <c r="AJ157" i="1"/>
  <c r="AP157" i="1"/>
  <c r="AJ131" i="1"/>
  <c r="AP131" i="1"/>
  <c r="AD137" i="1"/>
  <c r="AS144" i="1"/>
  <c r="AM144" i="1"/>
  <c r="AG150" i="1"/>
  <c r="AP210" i="1"/>
  <c r="AJ210" i="1"/>
  <c r="AC152" i="1"/>
  <c r="AP150" i="1"/>
  <c r="AJ150" i="1"/>
  <c r="AD152" i="1"/>
  <c r="AP152" i="1" l="1"/>
  <c r="AS121" i="1"/>
  <c r="AM121" i="1"/>
  <c r="AP167" i="1"/>
  <c r="AJ167" i="1"/>
  <c r="AS150" i="1"/>
  <c r="AM150" i="1"/>
  <c r="AG152" i="1"/>
  <c r="AG167" i="1"/>
  <c r="AS157" i="1"/>
  <c r="AM157" i="1"/>
  <c r="AJ152" i="1"/>
  <c r="AP137" i="1"/>
  <c r="AO152" i="1" s="1"/>
  <c r="AD139" i="1"/>
  <c r="AJ137" i="1"/>
  <c r="AI152" i="1" s="1"/>
  <c r="AS131" i="1"/>
  <c r="AM131" i="1"/>
  <c r="AG137" i="1"/>
  <c r="AM152" i="1" l="1"/>
  <c r="AS167" i="1"/>
  <c r="AM167" i="1"/>
  <c r="AS152" i="1"/>
  <c r="AG139" i="1"/>
  <c r="AS137" i="1"/>
  <c r="AR152" i="1" s="1"/>
  <c r="AM137" i="1"/>
  <c r="AL152" i="1" s="1"/>
  <c r="AC139" i="1"/>
  <c r="AJ139" i="1"/>
  <c r="AP139" i="1"/>
  <c r="AF152" i="1"/>
  <c r="AS139" i="1" l="1"/>
  <c r="AM139" i="1"/>
  <c r="AF139" i="1"/>
  <c r="AO139" i="1"/>
  <c r="AI139" i="1"/>
  <c r="AR139" i="1" l="1"/>
  <c r="AL139" i="1"/>
</calcChain>
</file>

<file path=xl/comments1.xml><?xml version="1.0" encoding="utf-8"?>
<comments xmlns="http://schemas.openxmlformats.org/spreadsheetml/2006/main">
  <authors>
    <author>David</author>
    <author>David Savage</author>
    <author>dsavage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Included tax sharing accrual - accrued and held in variance account for future rate rider ?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One customer - deducted Transformer Allowance</t>
        </r>
      </text>
    </comment>
    <comment ref="U194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No formula - just input
</t>
        </r>
      </text>
    </comment>
    <comment ref="AC210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impact (reduction in Cost of Power) form applying the weighted average GA rate to I1/I4 class.</t>
        </r>
      </text>
    </comment>
    <comment ref="AF210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impact (reduction in Cost of Power) form applying the weighted average GA rate to I1/I4 class.</t>
        </r>
      </text>
    </comment>
    <comment ref="AC21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impact (increase in Cost of Power) from correcting the WMS rate to 0.0036 from 0.0032 for all classses other than Class A (large user).</t>
        </r>
      </text>
    </comment>
    <comment ref="AF21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impact (increase in Cost of Power) from correcting the WMS rate to 0.0036 from 0.0032 for all classses other than Class A (large user).</t>
        </r>
      </text>
    </comment>
    <comment ref="AD213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changed from 1.0359</t>
        </r>
      </text>
    </comment>
    <comment ref="H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K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Q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Actual increase at Feb 2014</t>
        </r>
      </text>
    </comment>
    <comment ref="AC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U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T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I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L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O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R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U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BA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BD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H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K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O25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2013 Act $1,833,354 + 22% increase (2013 over 2012 increase was 35%, 44% 2012 vs 2011)</t>
        </r>
      </text>
    </comment>
    <comment ref="Q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increase, less 3% to reflect favourable avoidance options to larger users.</t>
        </r>
      </text>
    </comment>
    <comment ref="T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I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L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O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R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U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BA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BD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F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U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X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69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X269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C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F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U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X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8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X28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C287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Large user (Class A) does not pay the 0.0004 CBR amount</t>
        </r>
      </text>
    </comment>
    <comment ref="Q29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to $0.0013 effective 1 May 2014. LDC charge to customers alss increases to $0.0013 per kwh.</t>
        </r>
      </text>
    </comment>
  </commentList>
</comments>
</file>

<file path=xl/sharedStrings.xml><?xml version="1.0" encoding="utf-8"?>
<sst xmlns="http://schemas.openxmlformats.org/spreadsheetml/2006/main" count="740" uniqueCount="112">
  <si>
    <t>Distribution Revenue, Rate Design &amp; Cost of Power</t>
  </si>
  <si>
    <t>Changes Vs June 2017 Filing Update</t>
  </si>
  <si>
    <t>Changes Vs Dec 2015 OEB Decision</t>
  </si>
  <si>
    <t>June 2017 Filing Update</t>
  </si>
  <si>
    <t xml:space="preserve"> Per Dec 2015 OEB Decision</t>
  </si>
  <si>
    <t>Yellow Cells Require Updating or Linking</t>
  </si>
  <si>
    <t>2014 FC</t>
  </si>
  <si>
    <t>Consumption #'s for Billing Impacts</t>
  </si>
  <si>
    <t>kWh</t>
  </si>
  <si>
    <t>KW</t>
  </si>
  <si>
    <t xml:space="preserve"> to Source File (eg Load Forecast file)</t>
  </si>
  <si>
    <t xml:space="preserve">Approved </t>
  </si>
  <si>
    <t>Actual</t>
  </si>
  <si>
    <t>Jan 2015 Filing</t>
  </si>
  <si>
    <t>Forecast</t>
  </si>
  <si>
    <t>LOAD FORECAST</t>
  </si>
  <si>
    <t># of Customers (At Year End)</t>
  </si>
  <si>
    <t>Residential</t>
  </si>
  <si>
    <t>GS &lt; 50 kW</t>
  </si>
  <si>
    <t>GS 50 to 999 kW (I1 &amp; I4)</t>
  </si>
  <si>
    <t>GS 1,000 to 4,999 kW (I2)</t>
  </si>
  <si>
    <t>Large Use (I3)</t>
  </si>
  <si>
    <t>Street Lighting</t>
  </si>
  <si>
    <t>USL</t>
  </si>
  <si>
    <t>Sentinel Lights</t>
  </si>
  <si>
    <t xml:space="preserve">TOTAL </t>
  </si>
  <si>
    <t># of Customers (Average for Year - Basis for Rates)</t>
  </si>
  <si>
    <t>kW</t>
  </si>
  <si>
    <t>2014 App</t>
  </si>
  <si>
    <t>2014</t>
  </si>
  <si>
    <t>2015</t>
  </si>
  <si>
    <t>2016</t>
  </si>
  <si>
    <t>2017</t>
  </si>
  <si>
    <t>2018</t>
  </si>
  <si>
    <t>2019</t>
  </si>
  <si>
    <t>kWH</t>
  </si>
  <si>
    <t>RATE DESIGN</t>
  </si>
  <si>
    <t>Net Rev. Requirement</t>
  </si>
  <si>
    <t>%'s 2015 - 2019 linked to Rate Design Model ===&gt;</t>
  </si>
  <si>
    <t>Transformer Allowance</t>
  </si>
  <si>
    <t xml:space="preserve">     kW</t>
  </si>
  <si>
    <t xml:space="preserve">     $</t>
  </si>
  <si>
    <t>Rate</t>
  </si>
  <si>
    <t>Gross Rev. Requirement</t>
  </si>
  <si>
    <t>(Add Transformer Allowance)</t>
  </si>
  <si>
    <t>Fixed Charge Split</t>
  </si>
  <si>
    <t>GS Less Than 50 KW</t>
  </si>
  <si>
    <t>GS 50 To 999 KW</t>
  </si>
  <si>
    <t>GS Intermediate 1,000 To 4,999 KW</t>
  </si>
  <si>
    <t>Large Use</t>
  </si>
  <si>
    <t>Sentinel Lighting</t>
  </si>
  <si>
    <t>Unmetered Scattered Load</t>
  </si>
  <si>
    <t>Variable Charge Split</t>
  </si>
  <si>
    <r>
      <t>Increase /</t>
    </r>
    <r>
      <rPr>
        <b/>
        <sz val="10"/>
        <color rgb="FFFF0000"/>
        <rFont val="Times New Roman"/>
        <family val="1"/>
      </rPr>
      <t xml:space="preserve"> (Reduction)</t>
    </r>
  </si>
  <si>
    <r>
      <t>Resulting Rates</t>
    </r>
    <r>
      <rPr>
        <b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(rounded)</t>
    </r>
  </si>
  <si>
    <t>Fixed</t>
  </si>
  <si>
    <t>Variable</t>
  </si>
  <si>
    <t>Rate Change Yr over Yr</t>
  </si>
  <si>
    <t>Check - Calculated Revenue (Gross)</t>
  </si>
  <si>
    <t>Net</t>
  </si>
  <si>
    <t>Rounding Diff % &amp; $'s</t>
  </si>
  <si>
    <t>Check - Calculated Revenue (Gross) - At PY Rates</t>
  </si>
  <si>
    <t>TF Allowance</t>
  </si>
  <si>
    <t xml:space="preserve">Gross </t>
  </si>
  <si>
    <t>Revenue Deficiency / Net Revenue after TF Allowance</t>
  </si>
  <si>
    <t>Average Monthly Distribution Charge</t>
  </si>
  <si>
    <t>kWh/kW</t>
  </si>
  <si>
    <t>$'s</t>
  </si>
  <si>
    <t>Monthly Charge Change Yr over Yr</t>
  </si>
  <si>
    <t>SSS Administration Revenue</t>
  </si>
  <si>
    <t># of Retail Customers</t>
  </si>
  <si>
    <t>At Yr End</t>
  </si>
  <si>
    <t>Average</t>
  </si>
  <si>
    <t>FC Yr End</t>
  </si>
  <si>
    <t>Admin Fees (25c * # Customers Excl Retail))</t>
  </si>
  <si>
    <t>Calculated</t>
  </si>
  <si>
    <t>TOTAL SSS Administration Revenue</t>
  </si>
  <si>
    <t>COST OF POWER</t>
  </si>
  <si>
    <t>Summary</t>
  </si>
  <si>
    <t>4705-Power Purchased</t>
  </si>
  <si>
    <t>4707-Global Adjustment</t>
  </si>
  <si>
    <t>4708-Charges-WMS</t>
  </si>
  <si>
    <t>4714-Charges-NW</t>
  </si>
  <si>
    <t>4716-Charges-CN</t>
  </si>
  <si>
    <t xml:space="preserve">4730-Rural Rate Assistance </t>
  </si>
  <si>
    <r>
      <t>SME Charge for 2018/2019 [</t>
    </r>
    <r>
      <rPr>
        <i/>
        <sz val="10"/>
        <color rgb="FFFF0000"/>
        <rFont val="Arial"/>
        <family val="2"/>
      </rPr>
      <t>used for Other/OCEB to 2017</t>
    </r>
    <r>
      <rPr>
        <sz val="10"/>
        <rFont val="Arial"/>
        <family val="2"/>
      </rPr>
      <t>]</t>
    </r>
  </si>
  <si>
    <r>
      <t xml:space="preserve">Increase / </t>
    </r>
    <r>
      <rPr>
        <sz val="9"/>
        <color rgb="FFFF0000"/>
        <rFont val="Arial"/>
        <family val="2"/>
      </rPr>
      <t>(Decrease)</t>
    </r>
  </si>
  <si>
    <t>Loss Factor</t>
  </si>
  <si>
    <t>RPP / Non-RPP Split</t>
  </si>
  <si>
    <t>Non-RPP</t>
  </si>
  <si>
    <t>RPP</t>
  </si>
  <si>
    <t>All Others</t>
  </si>
  <si>
    <t>Electricity - Commodity RPP</t>
  </si>
  <si>
    <t>vs PY</t>
  </si>
  <si>
    <t>Inflation</t>
  </si>
  <si>
    <t>Electricity - Commodity Non-RPP</t>
  </si>
  <si>
    <t>Global Adjustment</t>
  </si>
  <si>
    <t>***</t>
  </si>
  <si>
    <t xml:space="preserve"> </t>
  </si>
  <si>
    <t>Transmission - Network</t>
  </si>
  <si>
    <t>Transmission - Connection</t>
  </si>
  <si>
    <t>Wholesale Market Service</t>
  </si>
  <si>
    <t>Rural Rate Assistance</t>
  </si>
  <si>
    <t>SME Charge</t>
  </si>
  <si>
    <t>Ontario Clean Energy Benefit (10%) - NOT INCLUDED ABOVE</t>
  </si>
  <si>
    <t>Ontario Fair Hydro Adjustments - Commodity RPP</t>
  </si>
  <si>
    <t>Ontario Fair Hydro Adjustments - Commodity Non-RPP</t>
  </si>
  <si>
    <t>Ontario Fair Hydro Adjustments - Global Adjustment</t>
  </si>
  <si>
    <t>TOTAL COP per Above Detail</t>
  </si>
  <si>
    <t>check vs Above Summary</t>
  </si>
  <si>
    <t>Per Detailed Trial Balance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</si>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</sst>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\ ;[Red]\(#,##0.00\)"/>
    <numFmt numFmtId="165" formatCode="#,##0\ ;[Red]\(#,##0\)"/>
    <numFmt numFmtId="166" formatCode="0.0%"/>
    <numFmt numFmtId="167" formatCode="#,##0.0\ ;[Red]\(#,##0.0\)"/>
    <numFmt numFmtId="168" formatCode="#,##0.000\ ;[Red]\(#,##0.000\)"/>
    <numFmt numFmtId="169" formatCode="&quot;$&quot;#,##0.00;\(&quot;$&quot;###0.00\)"/>
    <numFmt numFmtId="170" formatCode="#,##0.0000\ ;[Red]\(#,##0.0000\)"/>
    <numFmt numFmtId="171" formatCode="0.000%"/>
    <numFmt numFmtId="172" formatCode="&quot;$&quot;#,##0\ ;[Red]&quot;$&quot;\(#,##0\)"/>
    <numFmt numFmtId="173" formatCode="#,##0.0%;[Red]\(#,##0.0\)%"/>
    <numFmt numFmtId="174" formatCode="&quot;$&quot;#,##0.00000_);\(&quot;$&quot;#,##0.00000\)"/>
    <numFmt numFmtId="175" formatCode="&quot;$&quot;#,##0.0000_);\(&quot;$&quot;#,##0.0000\)"/>
    <numFmt numFmtId="176" formatCode="#,##0.00000\ ;[Red]\(#,##0.0000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Times New Roman"/>
      <family val="1"/>
    </font>
    <font>
      <b/>
      <u/>
      <sz val="10"/>
      <name val="Arial"/>
      <family val="2"/>
    </font>
    <font>
      <u/>
      <sz val="10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7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color theme="9" tint="-0.249977111117893"/>
      <name val="Times New Roman"/>
      <family val="1"/>
    </font>
    <font>
      <i/>
      <sz val="10"/>
      <color theme="9" tint="-0.249977111117893"/>
      <name val="Arial"/>
      <family val="2"/>
    </font>
    <font>
      <i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Alignment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75">
    <xf numFmtId="0" fontId="0" fillId="0" borderId="0" xfId="0"/>
    <xf numFmtId="1" fontId="3" fillId="0" borderId="0" xfId="2" applyNumberFormat="1" applyFont="1" applyFill="1" applyBorder="1" applyAlignment="1">
      <alignment horizontal="left"/>
    </xf>
    <xf numFmtId="0" fontId="4" fillId="0" borderId="0" xfId="2" applyFont="1" applyBorder="1"/>
    <xf numFmtId="0" fontId="5" fillId="0" borderId="0" xfId="2" applyFont="1" applyBorder="1" applyAlignment="1">
      <alignment horizontal="left"/>
    </xf>
    <xf numFmtId="164" fontId="6" fillId="0" borderId="0" xfId="3" applyNumberFormat="1"/>
    <xf numFmtId="165" fontId="2" fillId="0" borderId="0" xfId="2" applyNumberFormat="1" applyBorder="1"/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left"/>
    </xf>
    <xf numFmtId="0" fontId="2" fillId="0" borderId="0" xfId="2"/>
    <xf numFmtId="1" fontId="7" fillId="2" borderId="0" xfId="2" applyNumberFormat="1" applyFont="1" applyFill="1" applyBorder="1" applyAlignment="1">
      <alignment horizontal="center"/>
    </xf>
    <xf numFmtId="1" fontId="7" fillId="3" borderId="0" xfId="2" applyNumberFormat="1" applyFont="1" applyFill="1" applyBorder="1" applyAlignment="1">
      <alignment horizontal="center"/>
    </xf>
    <xf numFmtId="165" fontId="9" fillId="2" borderId="0" xfId="4" applyNumberFormat="1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4" borderId="1" xfId="2" applyFont="1" applyFill="1" applyBorder="1" applyAlignment="1">
      <alignment horizontal="left"/>
    </xf>
    <xf numFmtId="0" fontId="11" fillId="4" borderId="2" xfId="2" applyFont="1" applyFill="1" applyBorder="1" applyAlignment="1">
      <alignment horizontal="right" vertical="top" wrapText="1"/>
    </xf>
    <xf numFmtId="0" fontId="11" fillId="0" borderId="2" xfId="2" applyFont="1" applyBorder="1" applyAlignment="1">
      <alignment horizontal="right" vertical="top" wrapText="1"/>
    </xf>
    <xf numFmtId="0" fontId="5" fillId="0" borderId="0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right" vertical="top" wrapText="1"/>
    </xf>
    <xf numFmtId="0" fontId="5" fillId="0" borderId="3" xfId="2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2" fillId="0" borderId="0" xfId="2" applyFont="1" applyBorder="1" applyAlignment="1"/>
    <xf numFmtId="0" fontId="4" fillId="0" borderId="0" xfId="2" applyFont="1" applyBorder="1" applyAlignment="1"/>
    <xf numFmtId="0" fontId="5" fillId="4" borderId="4" xfId="2" applyFont="1" applyFill="1" applyBorder="1" applyAlignment="1">
      <alignment horizontal="left"/>
    </xf>
    <xf numFmtId="0" fontId="2" fillId="0" borderId="0" xfId="2" applyAlignment="1">
      <alignment horizontal="left"/>
    </xf>
    <xf numFmtId="0" fontId="11" fillId="0" borderId="0" xfId="2" applyFont="1" applyBorder="1" applyAlignment="1">
      <alignment vertical="top"/>
    </xf>
    <xf numFmtId="0" fontId="11" fillId="4" borderId="2" xfId="2" applyFont="1" applyFill="1" applyBorder="1" applyAlignment="1">
      <alignment horizontal="right" vertical="top"/>
    </xf>
    <xf numFmtId="165" fontId="2" fillId="0" borderId="0" xfId="2" applyNumberFormat="1" applyBorder="1" applyAlignment="1"/>
    <xf numFmtId="0" fontId="13" fillId="0" borderId="0" xfId="2" applyFont="1" applyBorder="1" applyAlignment="1">
      <alignment horizontal="center" vertical="top"/>
    </xf>
    <xf numFmtId="0" fontId="11" fillId="0" borderId="2" xfId="2" applyFont="1" applyBorder="1" applyAlignment="1">
      <alignment horizontal="right" vertical="top"/>
    </xf>
    <xf numFmtId="0" fontId="13" fillId="0" borderId="0" xfId="2" applyFont="1" applyFill="1" applyBorder="1" applyAlignment="1">
      <alignment horizontal="center" vertical="top"/>
    </xf>
    <xf numFmtId="0" fontId="11" fillId="0" borderId="2" xfId="2" applyFont="1" applyFill="1" applyBorder="1" applyAlignment="1">
      <alignment horizontal="right" vertical="top"/>
    </xf>
    <xf numFmtId="0" fontId="2" fillId="0" borderId="0" xfId="2" applyAlignment="1"/>
    <xf numFmtId="0" fontId="13" fillId="0" borderId="3" xfId="2" applyFont="1" applyBorder="1" applyAlignment="1">
      <alignment horizontal="center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2" fillId="0" borderId="0" xfId="2" applyFill="1" applyAlignment="1">
      <alignment horizontal="left"/>
    </xf>
    <xf numFmtId="0" fontId="11" fillId="0" borderId="0" xfId="2" applyFont="1" applyFill="1" applyBorder="1" applyAlignment="1">
      <alignment vertical="top"/>
    </xf>
    <xf numFmtId="0" fontId="14" fillId="5" borderId="0" xfId="2" applyFont="1" applyFill="1" applyBorder="1" applyAlignment="1"/>
    <xf numFmtId="0" fontId="4" fillId="5" borderId="0" xfId="2" applyFont="1" applyFill="1" applyBorder="1" applyAlignment="1"/>
    <xf numFmtId="0" fontId="2" fillId="5" borderId="0" xfId="2" applyFill="1" applyAlignment="1">
      <alignment horizontal="left"/>
    </xf>
    <xf numFmtId="0" fontId="11" fillId="5" borderId="0" xfId="2" applyFont="1" applyFill="1" applyBorder="1" applyAlignment="1">
      <alignment vertical="top"/>
    </xf>
    <xf numFmtId="0" fontId="11" fillId="5" borderId="2" xfId="2" applyFont="1" applyFill="1" applyBorder="1" applyAlignment="1">
      <alignment horizontal="right" vertical="top"/>
    </xf>
    <xf numFmtId="165" fontId="2" fillId="5" borderId="0" xfId="2" applyNumberFormat="1" applyFill="1" applyBorder="1" applyAlignment="1"/>
    <xf numFmtId="0" fontId="13" fillId="5" borderId="0" xfId="2" applyFont="1" applyFill="1" applyBorder="1" applyAlignment="1">
      <alignment horizontal="center" vertical="top"/>
    </xf>
    <xf numFmtId="0" fontId="2" fillId="5" borderId="0" xfId="2" applyFill="1" applyAlignment="1"/>
    <xf numFmtId="0" fontId="13" fillId="5" borderId="3" xfId="2" applyFont="1" applyFill="1" applyBorder="1" applyAlignment="1">
      <alignment horizontal="center" vertical="top"/>
    </xf>
    <xf numFmtId="0" fontId="15" fillId="0" borderId="0" xfId="2" applyFont="1" applyFill="1" applyBorder="1"/>
    <xf numFmtId="0" fontId="5" fillId="0" borderId="0" xfId="2" applyFont="1" applyFill="1" applyBorder="1"/>
    <xf numFmtId="0" fontId="5" fillId="0" borderId="2" xfId="2" applyFont="1" applyFill="1" applyBorder="1"/>
    <xf numFmtId="165" fontId="16" fillId="0" borderId="0" xfId="2" applyNumberFormat="1" applyFont="1" applyBorder="1"/>
    <xf numFmtId="0" fontId="17" fillId="0" borderId="2" xfId="2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left" vertical="top" wrapText="1"/>
    </xf>
    <xf numFmtId="165" fontId="5" fillId="0" borderId="0" xfId="2" applyNumberFormat="1" applyFont="1" applyFill="1" applyBorder="1" applyAlignment="1">
      <alignment horizontal="left" wrapText="1"/>
    </xf>
    <xf numFmtId="165" fontId="5" fillId="0" borderId="0" xfId="2" applyNumberFormat="1" applyFont="1" applyFill="1" applyBorder="1" applyAlignment="1">
      <alignment horizontal="right" vertical="top" wrapText="1"/>
    </xf>
    <xf numFmtId="165" fontId="5" fillId="4" borderId="2" xfId="2" applyNumberFormat="1" applyFont="1" applyFill="1" applyBorder="1" applyAlignment="1"/>
    <xf numFmtId="166" fontId="5" fillId="0" borderId="0" xfId="5" applyNumberFormat="1" applyFont="1" applyFill="1" applyBorder="1" applyAlignment="1">
      <alignment horizontal="center"/>
    </xf>
    <xf numFmtId="165" fontId="5" fillId="3" borderId="2" xfId="2" applyNumberFormat="1" applyFont="1" applyFill="1" applyBorder="1" applyAlignment="1"/>
    <xf numFmtId="166" fontId="5" fillId="0" borderId="3" xfId="5" applyNumberFormat="1" applyFont="1" applyFill="1" applyBorder="1" applyAlignment="1">
      <alignment horizontal="center"/>
    </xf>
    <xf numFmtId="165" fontId="5" fillId="0" borderId="0" xfId="2" applyNumberFormat="1" applyFont="1" applyBorder="1" applyAlignment="1">
      <alignment horizontal="right" vertical="top" wrapText="1"/>
    </xf>
    <xf numFmtId="165" fontId="5" fillId="0" borderId="0" xfId="2" applyNumberFormat="1" applyFont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left" wrapText="1"/>
    </xf>
    <xf numFmtId="165" fontId="5" fillId="0" borderId="5" xfId="2" applyNumberFormat="1" applyFont="1" applyBorder="1"/>
    <xf numFmtId="166" fontId="5" fillId="0" borderId="6" xfId="5" applyNumberFormat="1" applyFont="1" applyFill="1" applyBorder="1" applyAlignment="1">
      <alignment horizontal="center"/>
    </xf>
    <xf numFmtId="166" fontId="5" fillId="0" borderId="7" xfId="5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165" fontId="5" fillId="0" borderId="2" xfId="2" applyNumberFormat="1" applyFont="1" applyFill="1" applyBorder="1"/>
    <xf numFmtId="165" fontId="5" fillId="0" borderId="2" xfId="2" applyNumberFormat="1" applyFont="1" applyFill="1" applyBorder="1" applyAlignment="1"/>
    <xf numFmtId="165" fontId="16" fillId="0" borderId="0" xfId="2" applyNumberFormat="1" applyFont="1" applyFill="1" applyBorder="1"/>
    <xf numFmtId="165" fontId="18" fillId="0" borderId="0" xfId="2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165" fontId="19" fillId="0" borderId="5" xfId="2" applyNumberFormat="1" applyFont="1" applyBorder="1"/>
    <xf numFmtId="0" fontId="2" fillId="0" borderId="2" xfId="2" applyBorder="1"/>
    <xf numFmtId="0" fontId="2" fillId="0" borderId="0" xfId="2" applyFill="1" applyAlignment="1">
      <alignment horizontal="center"/>
    </xf>
    <xf numFmtId="0" fontId="2" fillId="0" borderId="3" xfId="2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2" fillId="0" borderId="0" xfId="2" quotePrefix="1" applyFont="1"/>
    <xf numFmtId="165" fontId="5" fillId="4" borderId="2" xfId="2" applyNumberFormat="1" applyFont="1" applyFill="1" applyBorder="1" applyAlignment="1">
      <alignment horizontal="right" vertical="top" wrapText="1"/>
    </xf>
    <xf numFmtId="165" fontId="2" fillId="0" borderId="0" xfId="2" applyNumberFormat="1"/>
    <xf numFmtId="165" fontId="5" fillId="3" borderId="2" xfId="2" applyNumberFormat="1" applyFont="1" applyFill="1" applyBorder="1" applyAlignment="1">
      <alignment horizontal="right" vertical="top" wrapText="1"/>
    </xf>
    <xf numFmtId="0" fontId="2" fillId="0" borderId="7" xfId="2" applyFont="1" applyBorder="1"/>
    <xf numFmtId="0" fontId="2" fillId="0" borderId="6" xfId="2" applyFont="1" applyBorder="1"/>
    <xf numFmtId="0" fontId="2" fillId="0" borderId="6" xfId="2" applyBorder="1"/>
    <xf numFmtId="0" fontId="2" fillId="0" borderId="5" xfId="2" applyBorder="1"/>
    <xf numFmtId="0" fontId="2" fillId="0" borderId="3" xfId="2" applyBorder="1"/>
    <xf numFmtId="0" fontId="20" fillId="0" borderId="0" xfId="2" quotePrefix="1" applyFont="1" applyBorder="1" applyAlignment="1">
      <alignment horizontal="right"/>
    </xf>
    <xf numFmtId="0" fontId="20" fillId="0" borderId="2" xfId="2" quotePrefix="1" applyFont="1" applyBorder="1" applyAlignment="1">
      <alignment horizontal="right"/>
    </xf>
    <xf numFmtId="0" fontId="2" fillId="0" borderId="3" xfId="2" applyFont="1" applyBorder="1"/>
    <xf numFmtId="167" fontId="2" fillId="0" borderId="0" xfId="2" applyNumberFormat="1" applyBorder="1"/>
    <xf numFmtId="167" fontId="2" fillId="0" borderId="2" xfId="2" applyNumberFormat="1" applyBorder="1"/>
    <xf numFmtId="168" fontId="2" fillId="0" borderId="0" xfId="2" applyNumberFormat="1" applyAlignment="1">
      <alignment horizontal="center"/>
    </xf>
    <xf numFmtId="167" fontId="2" fillId="0" borderId="0" xfId="2" applyNumberFormat="1"/>
    <xf numFmtId="164" fontId="2" fillId="0" borderId="0" xfId="2" applyNumberFormat="1" applyBorder="1"/>
    <xf numFmtId="164" fontId="2" fillId="0" borderId="2" xfId="2" applyNumberFormat="1" applyBorder="1"/>
    <xf numFmtId="0" fontId="2" fillId="0" borderId="8" xfId="2" applyBorder="1"/>
    <xf numFmtId="0" fontId="2" fillId="0" borderId="9" xfId="2" applyBorder="1"/>
    <xf numFmtId="0" fontId="2" fillId="0" borderId="10" xfId="2" applyBorder="1"/>
    <xf numFmtId="165" fontId="5" fillId="0" borderId="5" xfId="2" applyNumberFormat="1" applyFont="1" applyFill="1" applyBorder="1"/>
    <xf numFmtId="0" fontId="15" fillId="0" borderId="0" xfId="2" applyFont="1" applyBorder="1"/>
    <xf numFmtId="0" fontId="5" fillId="0" borderId="2" xfId="2" applyFont="1" applyBorder="1"/>
    <xf numFmtId="0" fontId="17" fillId="0" borderId="2" xfId="2" applyFont="1" applyBorder="1" applyAlignment="1">
      <alignment horizontal="right"/>
    </xf>
    <xf numFmtId="0" fontId="5" fillId="6" borderId="0" xfId="2" applyFont="1" applyFill="1" applyBorder="1" applyAlignment="1">
      <alignment horizontal="left"/>
    </xf>
    <xf numFmtId="0" fontId="5" fillId="6" borderId="2" xfId="2" applyFont="1" applyFill="1" applyBorder="1"/>
    <xf numFmtId="165" fontId="2" fillId="6" borderId="0" xfId="2" applyNumberFormat="1" applyFill="1" applyBorder="1"/>
    <xf numFmtId="0" fontId="5" fillId="6" borderId="0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166" fontId="5" fillId="4" borderId="0" xfId="1" applyNumberFormat="1" applyFont="1" applyFill="1" applyBorder="1" applyAlignment="1">
      <alignment horizontal="right" vertical="top" wrapText="1"/>
    </xf>
    <xf numFmtId="165" fontId="5" fillId="0" borderId="2" xfId="2" applyNumberFormat="1" applyFont="1" applyBorder="1"/>
    <xf numFmtId="166" fontId="5" fillId="4" borderId="3" xfId="1" applyNumberFormat="1" applyFont="1" applyFill="1" applyBorder="1" applyAlignment="1">
      <alignment horizontal="right" vertical="top" wrapText="1"/>
    </xf>
    <xf numFmtId="10" fontId="5" fillId="7" borderId="0" xfId="1" applyNumberFormat="1" applyFont="1" applyFill="1" applyBorder="1" applyAlignment="1">
      <alignment horizontal="right" vertical="top" wrapText="1"/>
    </xf>
    <xf numFmtId="10" fontId="5" fillId="7" borderId="3" xfId="1" applyNumberFormat="1" applyFont="1" applyFill="1" applyBorder="1" applyAlignment="1">
      <alignment horizontal="right" vertical="top" wrapText="1"/>
    </xf>
    <xf numFmtId="10" fontId="5" fillId="4" borderId="0" xfId="1" applyNumberFormat="1" applyFont="1" applyFill="1" applyBorder="1" applyAlignment="1">
      <alignment horizontal="right" vertical="top" wrapText="1"/>
    </xf>
    <xf numFmtId="166" fontId="5" fillId="0" borderId="6" xfId="1" applyNumberFormat="1" applyFont="1" applyFill="1" applyBorder="1"/>
    <xf numFmtId="165" fontId="5" fillId="4" borderId="5" xfId="2" applyNumberFormat="1" applyFont="1" applyFill="1" applyBorder="1"/>
    <xf numFmtId="166" fontId="5" fillId="0" borderId="7" xfId="1" applyNumberFormat="1" applyFont="1" applyFill="1" applyBorder="1"/>
    <xf numFmtId="0" fontId="5" fillId="0" borderId="0" xfId="2" applyFont="1" applyBorder="1" applyAlignment="1">
      <alignment horizontal="right" indent="1"/>
    </xf>
    <xf numFmtId="0" fontId="5" fillId="0" borderId="2" xfId="2" applyFont="1" applyBorder="1" applyAlignment="1">
      <alignment horizontal="right" indent="1"/>
    </xf>
    <xf numFmtId="0" fontId="5" fillId="0" borderId="3" xfId="2" applyFont="1" applyBorder="1" applyAlignment="1">
      <alignment horizontal="right" indent="1"/>
    </xf>
    <xf numFmtId="165" fontId="5" fillId="0" borderId="0" xfId="2" applyNumberFormat="1" applyFont="1" applyFill="1" applyBorder="1"/>
    <xf numFmtId="169" fontId="5" fillId="4" borderId="2" xfId="0" applyNumberFormat="1" applyFont="1" applyFill="1" applyBorder="1" applyAlignment="1">
      <alignment horizontal="right"/>
    </xf>
    <xf numFmtId="165" fontId="5" fillId="0" borderId="3" xfId="2" applyNumberFormat="1" applyFont="1" applyFill="1" applyBorder="1"/>
    <xf numFmtId="0" fontId="2" fillId="0" borderId="0" xfId="2" applyFont="1" applyFill="1" applyBorder="1"/>
    <xf numFmtId="0" fontId="4" fillId="0" borderId="0" xfId="2" applyFont="1" applyFill="1" applyBorder="1"/>
    <xf numFmtId="0" fontId="2" fillId="0" borderId="0" xfId="2" applyFill="1"/>
    <xf numFmtId="165" fontId="5" fillId="4" borderId="0" xfId="2" applyNumberFormat="1" applyFont="1" applyFill="1" applyBorder="1" applyAlignment="1">
      <alignment horizontal="right" vertical="top" wrapText="1"/>
    </xf>
    <xf numFmtId="165" fontId="5" fillId="4" borderId="3" xfId="2" applyNumberFormat="1" applyFont="1" applyFill="1" applyBorder="1" applyAlignment="1">
      <alignment horizontal="right" vertical="top" wrapText="1"/>
    </xf>
    <xf numFmtId="165" fontId="5" fillId="0" borderId="6" xfId="2" applyNumberFormat="1" applyFont="1" applyBorder="1"/>
    <xf numFmtId="165" fontId="5" fillId="0" borderId="3" xfId="2" applyNumberFormat="1" applyFont="1" applyBorder="1"/>
    <xf numFmtId="165" fontId="5" fillId="0" borderId="7" xfId="2" applyNumberFormat="1" applyFont="1" applyBorder="1"/>
    <xf numFmtId="0" fontId="21" fillId="0" borderId="0" xfId="2" applyFont="1" applyBorder="1"/>
    <xf numFmtId="0" fontId="22" fillId="0" borderId="0" xfId="2" applyFont="1" applyBorder="1" applyAlignment="1"/>
    <xf numFmtId="165" fontId="5" fillId="4" borderId="0" xfId="2" applyNumberFormat="1" applyFont="1" applyFill="1" applyBorder="1"/>
    <xf numFmtId="166" fontId="5" fillId="4" borderId="3" xfId="1" applyNumberFormat="1" applyFont="1" applyFill="1" applyBorder="1"/>
    <xf numFmtId="166" fontId="5" fillId="4" borderId="0" xfId="1" applyNumberFormat="1" applyFont="1" applyFill="1" applyBorder="1"/>
    <xf numFmtId="165" fontId="5" fillId="4" borderId="3" xfId="2" applyNumberFormat="1" applyFont="1" applyFill="1" applyBorder="1"/>
    <xf numFmtId="166" fontId="5" fillId="4" borderId="7" xfId="1" applyNumberFormat="1" applyFont="1" applyFill="1" applyBorder="1"/>
    <xf numFmtId="166" fontId="5" fillId="4" borderId="6" xfId="1" applyNumberFormat="1" applyFont="1" applyFill="1" applyBorder="1"/>
    <xf numFmtId="166" fontId="5" fillId="0" borderId="0" xfId="1" applyNumberFormat="1" applyFont="1" applyBorder="1"/>
    <xf numFmtId="165" fontId="5" fillId="0" borderId="0" xfId="2" applyNumberFormat="1" applyFont="1" applyFill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6" fontId="5" fillId="0" borderId="2" xfId="1" applyNumberFormat="1" applyFont="1" applyBorder="1"/>
    <xf numFmtId="166" fontId="5" fillId="0" borderId="3" xfId="1" applyNumberFormat="1" applyFont="1" applyBorder="1"/>
    <xf numFmtId="0" fontId="5" fillId="5" borderId="0" xfId="2" applyFont="1" applyFill="1" applyBorder="1" applyAlignment="1">
      <alignment horizontal="centerContinuous"/>
    </xf>
    <xf numFmtId="0" fontId="5" fillId="5" borderId="2" xfId="2" applyFont="1" applyFill="1" applyBorder="1" applyAlignment="1">
      <alignment horizontal="centerContinuous"/>
    </xf>
    <xf numFmtId="0" fontId="21" fillId="0" borderId="2" xfId="2" applyFont="1" applyFill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 vertical="top" wrapText="1"/>
    </xf>
    <xf numFmtId="170" fontId="5" fillId="0" borderId="2" xfId="2" applyNumberFormat="1" applyFont="1" applyBorder="1"/>
    <xf numFmtId="164" fontId="5" fillId="3" borderId="0" xfId="2" applyNumberFormat="1" applyFont="1" applyFill="1" applyBorder="1" applyAlignment="1">
      <alignment horizontal="right" vertical="top" wrapText="1"/>
    </xf>
    <xf numFmtId="170" fontId="5" fillId="3" borderId="2" xfId="2" applyNumberFormat="1" applyFont="1" applyFill="1" applyBorder="1"/>
    <xf numFmtId="165" fontId="16" fillId="3" borderId="0" xfId="2" applyNumberFormat="1" applyFont="1" applyFill="1" applyBorder="1"/>
    <xf numFmtId="164" fontId="5" fillId="0" borderId="3" xfId="2" applyNumberFormat="1" applyFont="1" applyFill="1" applyBorder="1" applyAlignment="1">
      <alignment horizontal="right" vertical="top" wrapText="1"/>
    </xf>
    <xf numFmtId="164" fontId="5" fillId="3" borderId="3" xfId="2" applyNumberFormat="1" applyFont="1" applyFill="1" applyBorder="1" applyAlignment="1">
      <alignment horizontal="right" vertical="top" wrapText="1"/>
    </xf>
    <xf numFmtId="170" fontId="5" fillId="7" borderId="2" xfId="2" applyNumberFormat="1" applyFont="1" applyFill="1" applyBorder="1"/>
    <xf numFmtId="166" fontId="5" fillId="0" borderId="0" xfId="1" applyNumberFormat="1" applyFont="1" applyFill="1" applyBorder="1" applyAlignment="1">
      <alignment horizontal="right" vertical="top" wrapText="1"/>
    </xf>
    <xf numFmtId="166" fontId="5" fillId="0" borderId="2" xfId="1" applyNumberFormat="1" applyFont="1" applyFill="1" applyBorder="1" applyAlignment="1">
      <alignment horizontal="right" vertical="top" wrapText="1"/>
    </xf>
    <xf numFmtId="166" fontId="5" fillId="0" borderId="3" xfId="1" applyNumberFormat="1" applyFont="1" applyFill="1" applyBorder="1" applyAlignment="1">
      <alignment horizontal="right" vertical="top" wrapText="1"/>
    </xf>
    <xf numFmtId="0" fontId="5" fillId="5" borderId="0" xfId="2" applyFont="1" applyFill="1" applyBorder="1" applyAlignment="1">
      <alignment horizontal="right"/>
    </xf>
    <xf numFmtId="0" fontId="2" fillId="0" borderId="0" xfId="2" applyBorder="1"/>
    <xf numFmtId="166" fontId="2" fillId="0" borderId="0" xfId="1" applyNumberFormat="1" applyFont="1"/>
    <xf numFmtId="165" fontId="5" fillId="0" borderId="0" xfId="2" applyNumberFormat="1" applyFont="1" applyBorder="1" applyAlignment="1">
      <alignment horizontal="center"/>
    </xf>
    <xf numFmtId="165" fontId="24" fillId="5" borderId="0" xfId="2" applyNumberFormat="1" applyFont="1" applyFill="1" applyBorder="1" applyAlignment="1">
      <alignment horizontal="right"/>
    </xf>
    <xf numFmtId="165" fontId="24" fillId="5" borderId="11" xfId="2" applyNumberFormat="1" applyFont="1" applyFill="1" applyBorder="1" applyAlignment="1">
      <alignment horizontal="right"/>
    </xf>
    <xf numFmtId="165" fontId="2" fillId="0" borderId="3" xfId="2" applyNumberFormat="1" applyBorder="1"/>
    <xf numFmtId="0" fontId="5" fillId="0" borderId="0" xfId="2" applyFont="1" applyFill="1" applyBorder="1" applyAlignment="1">
      <alignment horizontal="right"/>
    </xf>
    <xf numFmtId="171" fontId="25" fillId="0" borderId="12" xfId="1" applyNumberFormat="1" applyFont="1" applyFill="1" applyBorder="1"/>
    <xf numFmtId="165" fontId="25" fillId="0" borderId="13" xfId="2" applyNumberFormat="1" applyFont="1" applyFill="1" applyBorder="1" applyAlignment="1">
      <alignment horizontal="right" indent="1"/>
    </xf>
    <xf numFmtId="171" fontId="25" fillId="0" borderId="11" xfId="1" applyNumberFormat="1" applyFont="1" applyFill="1" applyBorder="1"/>
    <xf numFmtId="0" fontId="5" fillId="0" borderId="5" xfId="2" applyFont="1" applyBorder="1"/>
    <xf numFmtId="0" fontId="19" fillId="0" borderId="0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0" xfId="2" applyFill="1" applyBorder="1"/>
    <xf numFmtId="0" fontId="19" fillId="0" borderId="3" xfId="2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5" fillId="0" borderId="2" xfId="2" applyNumberFormat="1" applyFont="1" applyFill="1" applyBorder="1" applyAlignment="1">
      <alignment horizontal="right"/>
    </xf>
    <xf numFmtId="165" fontId="19" fillId="0" borderId="3" xfId="2" applyNumberFormat="1" applyFont="1" applyFill="1" applyBorder="1" applyAlignment="1">
      <alignment horizontal="right"/>
    </xf>
    <xf numFmtId="165" fontId="26" fillId="0" borderId="0" xfId="2" applyNumberFormat="1" applyFont="1"/>
    <xf numFmtId="165" fontId="26" fillId="0" borderId="3" xfId="2" applyNumberFormat="1" applyFont="1" applyBorder="1"/>
    <xf numFmtId="165" fontId="26" fillId="0" borderId="0" xfId="2" applyNumberFormat="1" applyFont="1" applyBorder="1"/>
    <xf numFmtId="165" fontId="19" fillId="0" borderId="11" xfId="2" applyNumberFormat="1" applyFont="1" applyFill="1" applyBorder="1" applyAlignment="1">
      <alignment horizontal="right"/>
    </xf>
    <xf numFmtId="165" fontId="5" fillId="0" borderId="13" xfId="2" applyNumberFormat="1" applyFont="1" applyFill="1" applyBorder="1" applyAlignment="1">
      <alignment horizontal="right"/>
    </xf>
    <xf numFmtId="165" fontId="19" fillId="0" borderId="12" xfId="2" applyNumberFormat="1" applyFont="1" applyFill="1" applyBorder="1" applyAlignment="1">
      <alignment horizontal="right"/>
    </xf>
    <xf numFmtId="165" fontId="5" fillId="0" borderId="13" xfId="2" applyNumberFormat="1" applyFont="1" applyFill="1" applyBorder="1"/>
    <xf numFmtId="165" fontId="27" fillId="0" borderId="11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27" fillId="0" borderId="12" xfId="2" applyNumberFormat="1" applyFont="1" applyFill="1" applyBorder="1" applyAlignment="1"/>
    <xf numFmtId="165" fontId="24" fillId="0" borderId="0" xfId="2" applyNumberFormat="1" applyFont="1" applyBorder="1" applyAlignment="1">
      <alignment horizontal="center"/>
    </xf>
    <xf numFmtId="0" fontId="21" fillId="0" borderId="0" xfId="2" applyFont="1" applyBorder="1" applyAlignment="1"/>
    <xf numFmtId="167" fontId="5" fillId="0" borderId="2" xfId="2" applyNumberFormat="1" applyFont="1" applyBorder="1"/>
    <xf numFmtId="164" fontId="5" fillId="0" borderId="2" xfId="2" applyNumberFormat="1" applyFont="1" applyBorder="1"/>
    <xf numFmtId="167" fontId="5" fillId="4" borderId="0" xfId="2" applyNumberFormat="1" applyFont="1" applyFill="1" applyBorder="1"/>
    <xf numFmtId="167" fontId="5" fillId="4" borderId="3" xfId="2" applyNumberFormat="1" applyFont="1" applyFill="1" applyBorder="1"/>
    <xf numFmtId="164" fontId="11" fillId="0" borderId="2" xfId="2" applyNumberFormat="1" applyFont="1" applyBorder="1" applyAlignment="1">
      <alignment horizontal="right"/>
    </xf>
    <xf numFmtId="0" fontId="5" fillId="0" borderId="3" xfId="2" applyFont="1" applyFill="1" applyBorder="1" applyAlignment="1">
      <alignment horizontal="right"/>
    </xf>
    <xf numFmtId="165" fontId="5" fillId="4" borderId="0" xfId="2" applyNumberFormat="1" applyFont="1" applyFill="1" applyBorder="1" applyAlignment="1"/>
    <xf numFmtId="165" fontId="5" fillId="3" borderId="0" xfId="2" applyNumberFormat="1" applyFont="1" applyFill="1" applyBorder="1" applyAlignment="1"/>
    <xf numFmtId="165" fontId="5" fillId="4" borderId="3" xfId="2" applyNumberFormat="1" applyFont="1" applyFill="1" applyBorder="1" applyAlignment="1"/>
    <xf numFmtId="0" fontId="28" fillId="0" borderId="0" xfId="2" applyFont="1" applyBorder="1" applyAlignment="1">
      <alignment horizontal="right"/>
    </xf>
    <xf numFmtId="165" fontId="29" fillId="0" borderId="0" xfId="2" applyNumberFormat="1" applyFont="1" applyBorder="1"/>
    <xf numFmtId="165" fontId="5" fillId="0" borderId="3" xfId="2" applyNumberFormat="1" applyFont="1" applyBorder="1" applyAlignment="1">
      <alignment horizontal="center"/>
    </xf>
    <xf numFmtId="165" fontId="5" fillId="4" borderId="2" xfId="2" applyNumberFormat="1" applyFont="1" applyFill="1" applyBorder="1"/>
    <xf numFmtId="165" fontId="5" fillId="0" borderId="14" xfId="2" applyNumberFormat="1" applyFont="1" applyFill="1" applyBorder="1"/>
    <xf numFmtId="165" fontId="29" fillId="0" borderId="15" xfId="2" applyNumberFormat="1" applyFont="1" applyFill="1" applyBorder="1"/>
    <xf numFmtId="0" fontId="29" fillId="0" borderId="0" xfId="2" applyFont="1" applyFill="1" applyBorder="1" applyAlignment="1">
      <alignment horizontal="right"/>
    </xf>
    <xf numFmtId="0" fontId="29" fillId="0" borderId="3" xfId="2" applyFont="1" applyFill="1" applyBorder="1" applyAlignment="1">
      <alignment horizontal="right"/>
    </xf>
    <xf numFmtId="0" fontId="2" fillId="0" borderId="0" xfId="2" applyFill="1" applyBorder="1" applyAlignment="1"/>
    <xf numFmtId="172" fontId="30" fillId="0" borderId="3" xfId="2" applyNumberFormat="1" applyFont="1" applyFill="1" applyBorder="1" applyAlignment="1">
      <alignment horizontal="center"/>
    </xf>
    <xf numFmtId="172" fontId="30" fillId="0" borderId="2" xfId="2" applyNumberFormat="1" applyFont="1" applyFill="1" applyBorder="1"/>
    <xf numFmtId="172" fontId="31" fillId="0" borderId="0" xfId="2" applyNumberFormat="1" applyFont="1" applyBorder="1"/>
    <xf numFmtId="172" fontId="30" fillId="0" borderId="0" xfId="2" applyNumberFormat="1" applyFont="1" applyFill="1" applyBorder="1" applyAlignment="1">
      <alignment horizontal="center"/>
    </xf>
    <xf numFmtId="0" fontId="2" fillId="0" borderId="0" xfId="6" applyFont="1" applyFill="1" applyBorder="1"/>
    <xf numFmtId="0" fontId="2" fillId="0" borderId="0" xfId="6" applyFont="1" applyFill="1" applyBorder="1" applyAlignment="1"/>
    <xf numFmtId="0" fontId="21" fillId="0" borderId="2" xfId="2" applyFont="1" applyFill="1" applyBorder="1" applyAlignment="1">
      <alignment horizontal="right" indent="1"/>
    </xf>
    <xf numFmtId="165" fontId="29" fillId="8" borderId="1" xfId="2" applyNumberFormat="1" applyFont="1" applyFill="1" applyBorder="1" applyAlignment="1">
      <alignment horizontal="center"/>
    </xf>
    <xf numFmtId="165" fontId="2" fillId="0" borderId="0" xfId="2" applyNumberFormat="1" applyFill="1" applyBorder="1"/>
    <xf numFmtId="0" fontId="18" fillId="0" borderId="0" xfId="6" applyFont="1" applyFill="1" applyBorder="1" applyAlignment="1">
      <alignment horizontal="right"/>
    </xf>
    <xf numFmtId="173" fontId="5" fillId="0" borderId="2" xfId="1" applyNumberFormat="1" applyFont="1" applyFill="1" applyBorder="1"/>
    <xf numFmtId="172" fontId="29" fillId="9" borderId="16" xfId="2" applyNumberFormat="1" applyFont="1" applyFill="1" applyBorder="1" applyAlignment="1">
      <alignment horizontal="center"/>
    </xf>
    <xf numFmtId="0" fontId="29" fillId="0" borderId="16" xfId="2" applyFont="1" applyFill="1" applyBorder="1" applyAlignment="1">
      <alignment horizontal="center"/>
    </xf>
    <xf numFmtId="0" fontId="16" fillId="0" borderId="0" xfId="6" applyFont="1" applyFill="1" applyBorder="1"/>
    <xf numFmtId="0" fontId="16" fillId="0" borderId="0" xfId="6" applyFont="1" applyFill="1" applyBorder="1" applyAlignment="1"/>
    <xf numFmtId="165" fontId="19" fillId="0" borderId="0" xfId="2" applyNumberFormat="1" applyFont="1" applyFill="1" applyBorder="1" applyAlignment="1">
      <alignment horizontal="center"/>
    </xf>
    <xf numFmtId="165" fontId="24" fillId="0" borderId="0" xfId="2" applyNumberFormat="1" applyFont="1" applyFill="1" applyBorder="1" applyAlignment="1">
      <alignment horizontal="center"/>
    </xf>
    <xf numFmtId="172" fontId="29" fillId="8" borderId="4" xfId="2" applyNumberFormat="1" applyFont="1" applyFill="1" applyBorder="1" applyAlignment="1">
      <alignment horizontal="center"/>
    </xf>
    <xf numFmtId="165" fontId="30" fillId="0" borderId="2" xfId="2" applyNumberFormat="1" applyFont="1" applyFill="1" applyBorder="1"/>
    <xf numFmtId="170" fontId="5" fillId="4" borderId="2" xfId="2" applyNumberFormat="1" applyFont="1" applyFill="1" applyBorder="1"/>
    <xf numFmtId="170" fontId="5" fillId="5" borderId="2" xfId="2" applyNumberFormat="1" applyFont="1" applyFill="1" applyBorder="1"/>
    <xf numFmtId="170" fontId="5" fillId="0" borderId="2" xfId="2" applyNumberFormat="1" applyFont="1" applyFill="1" applyBorder="1"/>
    <xf numFmtId="0" fontId="2" fillId="0" borderId="0" xfId="6" applyFont="1" applyFill="1" applyBorder="1" applyAlignment="1">
      <alignment horizontal="left" indent="1"/>
    </xf>
    <xf numFmtId="0" fontId="2" fillId="0" borderId="0" xfId="6" applyFont="1" applyFill="1" applyBorder="1" applyAlignment="1">
      <alignment horizontal="left"/>
    </xf>
    <xf numFmtId="0" fontId="13" fillId="0" borderId="0" xfId="2" applyFont="1" applyFill="1" applyBorder="1" applyAlignment="1">
      <alignment horizontal="right" indent="1"/>
    </xf>
    <xf numFmtId="0" fontId="13" fillId="0" borderId="2" xfId="2" applyFont="1" applyFill="1" applyBorder="1" applyAlignment="1">
      <alignment horizontal="right" indent="1"/>
    </xf>
    <xf numFmtId="0" fontId="13" fillId="0" borderId="3" xfId="2" applyFont="1" applyFill="1" applyBorder="1" applyAlignment="1">
      <alignment horizontal="right" indent="1"/>
    </xf>
    <xf numFmtId="9" fontId="5" fillId="0" borderId="0" xfId="5" applyFont="1" applyFill="1" applyBorder="1" applyAlignment="1">
      <alignment horizontal="center"/>
    </xf>
    <xf numFmtId="166" fontId="5" fillId="0" borderId="0" xfId="5" applyNumberFormat="1" applyFont="1" applyFill="1" applyBorder="1" applyAlignment="1">
      <alignment horizontal="right" indent="1"/>
    </xf>
    <xf numFmtId="166" fontId="5" fillId="4" borderId="2" xfId="5" applyNumberFormat="1" applyFont="1" applyFill="1" applyBorder="1" applyAlignment="1">
      <alignment horizontal="right" indent="1"/>
    </xf>
    <xf numFmtId="166" fontId="5" fillId="0" borderId="3" xfId="5" applyNumberFormat="1" applyFont="1" applyFill="1" applyBorder="1" applyAlignment="1">
      <alignment horizontal="right" indent="1"/>
    </xf>
    <xf numFmtId="174" fontId="5" fillId="0" borderId="0" xfId="6" applyNumberFormat="1" applyFont="1" applyFill="1" applyBorder="1"/>
    <xf numFmtId="174" fontId="5" fillId="0" borderId="3" xfId="6" applyNumberFormat="1" applyFont="1" applyFill="1" applyBorder="1"/>
    <xf numFmtId="165" fontId="29" fillId="0" borderId="0" xfId="2" applyNumberFormat="1" applyFont="1" applyFill="1" applyBorder="1" applyAlignment="1">
      <alignment horizontal="left" wrapText="1"/>
    </xf>
    <xf numFmtId="174" fontId="5" fillId="4" borderId="0" xfId="6" applyNumberFormat="1" applyFont="1" applyFill="1" applyBorder="1"/>
    <xf numFmtId="174" fontId="5" fillId="3" borderId="0" xfId="6" applyNumberFormat="1" applyFont="1" applyFill="1" applyBorder="1"/>
    <xf numFmtId="174" fontId="5" fillId="4" borderId="3" xfId="6" applyNumberFormat="1" applyFont="1" applyFill="1" applyBorder="1"/>
    <xf numFmtId="174" fontId="5" fillId="3" borderId="3" xfId="6" applyNumberFormat="1" applyFont="1" applyFill="1" applyBorder="1"/>
    <xf numFmtId="165" fontId="5" fillId="0" borderId="0" xfId="2" applyNumberFormat="1" applyFont="1" applyBorder="1"/>
    <xf numFmtId="166" fontId="5" fillId="4" borderId="1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3" borderId="17" xfId="1" applyNumberFormat="1" applyFont="1" applyFill="1" applyBorder="1" applyAlignment="1">
      <alignment horizontal="center"/>
    </xf>
    <xf numFmtId="166" fontId="5" fillId="4" borderId="5" xfId="1" applyNumberFormat="1" applyFont="1" applyFill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5" fillId="0" borderId="17" xfId="2" applyNumberFormat="1" applyFont="1" applyBorder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6" fontId="5" fillId="0" borderId="17" xfId="1" applyNumberFormat="1" applyFont="1" applyFill="1" applyBorder="1" applyAlignment="1">
      <alignment horizontal="center"/>
    </xf>
    <xf numFmtId="165" fontId="29" fillId="4" borderId="0" xfId="2" applyNumberFormat="1" applyFont="1" applyFill="1" applyBorder="1" applyAlignment="1">
      <alignment horizontal="left" wrapText="1"/>
    </xf>
    <xf numFmtId="165" fontId="5" fillId="5" borderId="2" xfId="2" applyNumberFormat="1" applyFont="1" applyFill="1" applyBorder="1"/>
    <xf numFmtId="175" fontId="5" fillId="4" borderId="0" xfId="6" applyNumberFormat="1" applyFont="1" applyFill="1" applyBorder="1"/>
    <xf numFmtId="175" fontId="5" fillId="3" borderId="0" xfId="6" applyNumberFormat="1" applyFont="1" applyFill="1" applyBorder="1"/>
    <xf numFmtId="175" fontId="5" fillId="4" borderId="3" xfId="6" applyNumberFormat="1" applyFont="1" applyFill="1" applyBorder="1"/>
    <xf numFmtId="175" fontId="5" fillId="3" borderId="3" xfId="6" applyNumberFormat="1" applyFont="1" applyFill="1" applyBorder="1"/>
    <xf numFmtId="175" fontId="5" fillId="0" borderId="0" xfId="6" applyNumberFormat="1" applyFont="1" applyFill="1" applyBorder="1"/>
    <xf numFmtId="175" fontId="5" fillId="0" borderId="3" xfId="6" applyNumberFormat="1" applyFont="1" applyFill="1" applyBorder="1"/>
    <xf numFmtId="168" fontId="5" fillId="0" borderId="0" xfId="2" applyNumberFormat="1" applyFont="1" applyBorder="1"/>
    <xf numFmtId="0" fontId="4" fillId="0" borderId="0" xfId="7" applyFont="1" applyBorder="1"/>
    <xf numFmtId="176" fontId="5" fillId="0" borderId="0" xfId="2" applyNumberFormat="1" applyFont="1" applyBorder="1"/>
    <xf numFmtId="166" fontId="5" fillId="3" borderId="0" xfId="1" applyNumberFormat="1" applyFont="1" applyFill="1" applyBorder="1"/>
    <xf numFmtId="166" fontId="5" fillId="0" borderId="0" xfId="1" applyNumberFormat="1" applyFont="1" applyFill="1" applyBorder="1"/>
    <xf numFmtId="165" fontId="5" fillId="10" borderId="2" xfId="2" applyNumberFormat="1" applyFont="1" applyFill="1" applyBorder="1"/>
    <xf numFmtId="165" fontId="5" fillId="0" borderId="18" xfId="2" applyNumberFormat="1" applyFont="1" applyFill="1" applyBorder="1"/>
  </cellXfs>
  <cellStyles count="8">
    <cellStyle name="Normal" xfId="0" builtinId="0"/>
    <cellStyle name="Normal 10 2" xfId="6"/>
    <cellStyle name="Normal 204" xfId="2"/>
    <cellStyle name="Normal 204 2" xfId="7"/>
    <cellStyle name="Normal 205" xfId="3"/>
    <cellStyle name="Percent" xfId="1" builtinId="5"/>
    <cellStyle name="Percent 2" xfId="5"/>
    <cellStyle name="STYLE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10.%20DRO/Master%20Working%20File_RUN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AppData/Local/Microsoft/Windows/Temporary%20Internet%20Files/Content.Outlook/35X58HS2/OPUCN_Detailed_CA_model_RUN_1_(201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ocuments/Back%20Ups%20from%20Finance/Accounting%20Monthend/Commentary/Board%20Package%202010%20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AppData/Roaming/Microsoft/Excel/Filing_Requirements_Chapter2_Appendices_for%202015%20to%202019%20(BLG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10.%20DRO/OPUCN_Revenue%20Requirement%20Model%20-%202015%20to%202019_RUN_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OE"/>
      <sheetName val="OEB Trial Balance"/>
      <sheetName val="Detail Trial Balance"/>
      <sheetName val="Other Op Rev"/>
      <sheetName val="Internal FS"/>
      <sheetName val="Rev Requirement"/>
      <sheetName val="Labour"/>
      <sheetName val="Labour Summary"/>
      <sheetName val="Inflation"/>
      <sheetName val="Capital"/>
      <sheetName val="Capital (Gross)"/>
      <sheetName val="TaxCalc"/>
      <sheetName val="Subs&amp;Cons "/>
      <sheetName val="DistRev&amp;COP&amp;LoadFcst "/>
      <sheetName val="Rate Summary"/>
      <sheetName val="Funding &amp; Interest"/>
      <sheetName val="OM&amp;A Programs - Ch 2 App 2-JC"/>
      <sheetName val="Load Forecast Summary"/>
      <sheetName val="Data for OEB CA Model"/>
      <sheetName val="Data for PILS Model"/>
      <sheetName val="Data for Rate Design Model"/>
      <sheetName val="Tax Adj's for Rev Reqt Model"/>
      <sheetName val="FA Data for Rev Reqt Model"/>
      <sheetName val="Funding Data for Rev Reqt Model"/>
      <sheetName val="Data for OEB RRWF"/>
      <sheetName val="Capital Plan Data"/>
      <sheetName val="Capital Plan Data (Gross)"/>
      <sheetName val="Depreciation Assets at Dec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Data for Model ==&gt;"/>
      <sheetName val="TB"/>
      <sheetName val="Fixed Assets"/>
      <sheetName val="Funding"/>
      <sheetName val="Tax 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E7">
            <v>2422564.4616289684</v>
          </cell>
        </row>
      </sheetData>
      <sheetData sheetId="23" refreshError="1"/>
      <sheetData sheetId="24">
        <row r="8">
          <cell r="W8">
            <v>0.56000000000000005</v>
          </cell>
        </row>
      </sheetData>
      <sheetData sheetId="25">
        <row r="7">
          <cell r="C7" t="str">
            <v>Debenture</v>
          </cell>
        </row>
      </sheetData>
      <sheetData sheetId="26">
        <row r="58">
          <cell r="D58">
            <v>22294299.105568457</v>
          </cell>
        </row>
      </sheetData>
      <sheetData sheetId="27" refreshError="1"/>
      <sheetData sheetId="28" refreshError="1"/>
      <sheetData sheetId="29">
        <row r="2">
          <cell r="A2" t="str">
            <v>Fixed Asset Continuity Schedule - MIFRS</v>
          </cell>
        </row>
        <row r="3">
          <cell r="A3" t="str">
            <v>Appendix 2-BA</v>
          </cell>
          <cell r="F3" t="str">
            <v>2012</v>
          </cell>
          <cell r="U3">
            <v>2013</v>
          </cell>
          <cell r="Z3">
            <v>2014</v>
          </cell>
          <cell r="AE3">
            <v>2015</v>
          </cell>
          <cell r="AJ3">
            <v>2016</v>
          </cell>
          <cell r="AO3">
            <v>2017</v>
          </cell>
          <cell r="AT3">
            <v>2018</v>
          </cell>
          <cell r="AY3">
            <v>2019</v>
          </cell>
          <cell r="BD3">
            <v>2020</v>
          </cell>
        </row>
        <row r="5">
          <cell r="F5" t="str">
            <v>Cost</v>
          </cell>
          <cell r="P5" t="str">
            <v>Accumulated Depreciation</v>
          </cell>
          <cell r="S5" t="str">
            <v>2012</v>
          </cell>
          <cell r="U5" t="str">
            <v>Cost</v>
          </cell>
          <cell r="W5" t="str">
            <v>Acc. Depreciation</v>
          </cell>
          <cell r="Z5" t="str">
            <v>Cost</v>
          </cell>
          <cell r="AB5" t="str">
            <v>Acc. Depreciation</v>
          </cell>
          <cell r="AE5" t="str">
            <v>Cost</v>
          </cell>
          <cell r="AG5" t="str">
            <v>Acc. Depreciation</v>
          </cell>
          <cell r="AJ5" t="str">
            <v>Cost</v>
          </cell>
          <cell r="AL5" t="str">
            <v>Acc. Depreciation</v>
          </cell>
          <cell r="AO5" t="str">
            <v>Cost</v>
          </cell>
          <cell r="AQ5" t="str">
            <v>Acc. Depreciation</v>
          </cell>
          <cell r="AT5" t="str">
            <v>Cost</v>
          </cell>
          <cell r="AV5" t="str">
            <v>Acc. Depreciation</v>
          </cell>
          <cell r="AY5" t="str">
            <v>Cost</v>
          </cell>
          <cell r="BA5" t="str">
            <v>Acc. Depreciation</v>
          </cell>
          <cell r="BD5" t="str">
            <v>Cost</v>
          </cell>
          <cell r="BF5" t="str">
            <v>Acc. Depreciation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T15">
            <v>3099063.4219406513</v>
          </cell>
          <cell r="AU15">
            <v>-760110.58352167322</v>
          </cell>
          <cell r="AV15">
            <v>-887383.80644444446</v>
          </cell>
          <cell r="AW15">
            <v>608886.96270398714</v>
          </cell>
          <cell r="AY15">
            <v>2846612.6663039145</v>
          </cell>
          <cell r="AZ15">
            <v>-604237.64287768945</v>
          </cell>
          <cell r="BA15">
            <v>-946437.89644444443</v>
          </cell>
          <cell r="BB15">
            <v>471045.67915890779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</row>
        <row r="44">
          <cell r="A44" t="str">
            <v>etc.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B46" t="str">
            <v>Sub-Total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T46">
            <v>18444722.993371848</v>
          </cell>
          <cell r="AU46">
            <v>-2114869.0321151912</v>
          </cell>
          <cell r="AV46">
            <v>-5012545.7926550694</v>
          </cell>
          <cell r="AW46">
            <v>1711604.4470432086</v>
          </cell>
          <cell r="AY46">
            <v>23474000</v>
          </cell>
          <cell r="AZ46">
            <v>-1966649.1996661192</v>
          </cell>
          <cell r="BA46">
            <v>-5393321.093462849</v>
          </cell>
          <cell r="BB46">
            <v>1585409.1938058154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</row>
        <row r="47">
          <cell r="B47" t="str">
            <v>Less Socialized Renewable Energy Generation Inv's (input as negative)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B48" t="str">
            <v>Less Other Non Rate-Regulated Utility Assets (input as negative)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B49" t="str">
            <v>Total PP&amp;E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T49">
            <v>18444722.993371848</v>
          </cell>
          <cell r="AU49">
            <v>-2114869.0321151912</v>
          </cell>
          <cell r="AV49">
            <v>-5012545.7926550694</v>
          </cell>
          <cell r="AW49">
            <v>1711604.4470432086</v>
          </cell>
          <cell r="AY49">
            <v>23474000</v>
          </cell>
          <cell r="AZ49">
            <v>-1966649.1996661192</v>
          </cell>
          <cell r="BA49">
            <v>-5393321.093462849</v>
          </cell>
          <cell r="BB49">
            <v>1585409.1938058154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426"/>
  <sheetViews>
    <sheetView showGridLines="0" tabSelected="1" zoomScale="95" zoomScaleNormal="95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AG207" sqref="AG207"/>
    </sheetView>
  </sheetViews>
  <sheetFormatPr defaultColWidth="9.1328125" defaultRowHeight="13.9" outlineLevelRow="1" outlineLevelCol="1" x14ac:dyDescent="0.4"/>
  <cols>
    <col min="1" max="1" width="1.1328125" style="14" customWidth="1"/>
    <col min="2" max="2" width="2.3984375" style="2" customWidth="1"/>
    <col min="3" max="3" width="33.265625" style="3" customWidth="1"/>
    <col min="4" max="4" width="4.73046875" style="3" bestFit="1" customWidth="1"/>
    <col min="5" max="5" width="8.265625" style="15" hidden="1" customWidth="1"/>
    <col min="6" max="6" width="11.265625" style="15" hidden="1" customWidth="1"/>
    <col min="7" max="7" width="1.73046875" style="5" hidden="1" customWidth="1"/>
    <col min="8" max="8" width="8.86328125" style="16" hidden="1" customWidth="1"/>
    <col min="9" max="9" width="11.265625" style="15" hidden="1" customWidth="1"/>
    <col min="10" max="10" width="1.73046875" style="5" hidden="1" customWidth="1"/>
    <col min="11" max="11" width="8.265625" style="16" hidden="1" customWidth="1"/>
    <col min="12" max="12" width="11.265625" style="15" hidden="1" customWidth="1"/>
    <col min="13" max="13" width="1.73046875" style="5" hidden="1" customWidth="1" outlineLevel="1"/>
    <col min="14" max="14" width="8.265625" style="16" hidden="1" customWidth="1" outlineLevel="1"/>
    <col min="15" max="15" width="11.265625" style="15" hidden="1" customWidth="1" outlineLevel="1"/>
    <col min="16" max="16" width="1.73046875" style="5" hidden="1" customWidth="1" collapsed="1"/>
    <col min="17" max="17" width="8.265625" style="16" hidden="1" customWidth="1"/>
    <col min="18" max="18" width="11.265625" style="15" hidden="1" customWidth="1"/>
    <col min="19" max="19" width="1.73046875" style="5" hidden="1" customWidth="1"/>
    <col min="20" max="20" width="8.265625" style="16" hidden="1" customWidth="1"/>
    <col min="21" max="21" width="11.265625" style="15" hidden="1" customWidth="1"/>
    <col min="22" max="22" width="1.73046875" style="5" hidden="1" customWidth="1"/>
    <col min="23" max="23" width="8.265625" style="16" hidden="1" customWidth="1"/>
    <col min="24" max="24" width="11.265625" style="15" hidden="1" customWidth="1"/>
    <col min="25" max="25" width="1.73046875" style="5" hidden="1" customWidth="1"/>
    <col min="26" max="26" width="8.86328125" style="16" hidden="1" customWidth="1"/>
    <col min="27" max="27" width="11.265625" style="15" hidden="1" customWidth="1"/>
    <col min="28" max="28" width="1.73046875" style="5" customWidth="1"/>
    <col min="29" max="29" width="8.73046875" style="16" customWidth="1"/>
    <col min="30" max="30" width="11.265625" style="15" customWidth="1"/>
    <col min="31" max="31" width="1.73046875" style="5" customWidth="1"/>
    <col min="32" max="32" width="9" style="16" customWidth="1"/>
    <col min="33" max="33" width="11.265625" style="15" customWidth="1"/>
    <col min="34" max="34" width="11.265625" style="8" customWidth="1"/>
    <col min="35" max="35" width="8.73046875" style="16" customWidth="1"/>
    <col min="36" max="36" width="11.265625" style="15" customWidth="1"/>
    <col min="37" max="37" width="1.73046875" style="5" customWidth="1"/>
    <col min="38" max="38" width="9" style="16" customWidth="1"/>
    <col min="39" max="39" width="11.265625" style="15" customWidth="1"/>
    <col min="40" max="40" width="1.73046875" style="5" customWidth="1"/>
    <col min="41" max="41" width="8.73046875" style="16" customWidth="1"/>
    <col min="42" max="42" width="11.265625" style="15" customWidth="1"/>
    <col min="43" max="43" width="1.73046875" style="5" customWidth="1"/>
    <col min="44" max="44" width="9" style="16" customWidth="1"/>
    <col min="45" max="45" width="11.265625" style="15" customWidth="1"/>
    <col min="46" max="46" width="2.59765625" style="8" customWidth="1"/>
    <col min="47" max="47" width="8.73046875" style="16" customWidth="1"/>
    <col min="48" max="48" width="11.265625" style="15" customWidth="1"/>
    <col min="49" max="49" width="1.73046875" style="5" customWidth="1"/>
    <col min="50" max="50" width="9" style="16" customWidth="1"/>
    <col min="51" max="51" width="11.265625" style="15" customWidth="1"/>
    <col min="52" max="52" width="2.59765625" style="8" customWidth="1"/>
    <col min="53" max="53" width="8.73046875" style="16" customWidth="1"/>
    <col min="54" max="54" width="11.265625" style="15" customWidth="1"/>
    <col min="55" max="55" width="1.73046875" style="5" customWidth="1"/>
    <col min="56" max="56" width="9" style="16" customWidth="1"/>
    <col min="57" max="57" width="11.265625" style="15" customWidth="1"/>
    <col min="58" max="58" width="9.1328125" style="8"/>
    <col min="59" max="59" width="34" style="8" customWidth="1"/>
    <col min="60" max="60" width="10.265625" style="8" bestFit="1" customWidth="1"/>
    <col min="61" max="61" width="8.1328125" style="8" customWidth="1"/>
    <col min="62" max="62" width="2.1328125" style="8" customWidth="1"/>
    <col min="63" max="63" width="5.86328125" style="8" customWidth="1"/>
    <col min="64" max="64" width="9.1328125" style="8" customWidth="1"/>
    <col min="65" max="16384" width="9.1328125" style="8"/>
  </cols>
  <sheetData>
    <row r="1" spans="1:61" ht="15.4" x14ac:dyDescent="0.45">
      <c r="A1" s="1" t="s">
        <v>0</v>
      </c>
      <c r="E1" s="1"/>
      <c r="F1" s="4"/>
      <c r="H1" s="6"/>
      <c r="I1" s="7"/>
      <c r="K1" s="6"/>
      <c r="L1" s="4"/>
      <c r="N1" s="7"/>
      <c r="O1" s="7"/>
      <c r="Q1" s="6"/>
      <c r="R1" s="4"/>
      <c r="T1" s="6"/>
      <c r="U1" s="4">
        <f>U46/U24/12</f>
        <v>0.15677918717428621</v>
      </c>
      <c r="W1" s="6"/>
      <c r="X1" s="7"/>
      <c r="Z1" s="6"/>
      <c r="AA1" s="7"/>
      <c r="AC1" s="6"/>
      <c r="AD1" s="7"/>
      <c r="AF1" s="6"/>
      <c r="AG1" s="7"/>
      <c r="AI1" s="9" t="s">
        <v>1</v>
      </c>
      <c r="AJ1" s="9"/>
      <c r="AK1" s="9"/>
      <c r="AL1" s="9"/>
      <c r="AM1" s="9"/>
      <c r="AO1" s="10" t="s">
        <v>2</v>
      </c>
      <c r="AP1" s="10"/>
      <c r="AQ1" s="10"/>
      <c r="AR1" s="10"/>
      <c r="AS1" s="10"/>
      <c r="AU1" s="11" t="s">
        <v>3</v>
      </c>
      <c r="AV1" s="12"/>
      <c r="AW1" s="13"/>
      <c r="AX1" s="13"/>
      <c r="AY1" s="13"/>
      <c r="BA1" s="10" t="s">
        <v>4</v>
      </c>
      <c r="BB1" s="10"/>
      <c r="BC1" s="10"/>
      <c r="BD1" s="10"/>
      <c r="BE1" s="10"/>
    </row>
    <row r="2" spans="1:61" ht="6" customHeight="1" x14ac:dyDescent="0.4"/>
    <row r="3" spans="1:61" ht="13.5" customHeight="1" x14ac:dyDescent="0.4">
      <c r="C3" s="17" t="s">
        <v>5</v>
      </c>
      <c r="F3" s="18">
        <v>2012</v>
      </c>
      <c r="I3" s="19">
        <v>2012</v>
      </c>
      <c r="L3" s="19">
        <v>2013</v>
      </c>
      <c r="N3" s="20"/>
      <c r="O3" s="21" t="s">
        <v>6</v>
      </c>
      <c r="R3" s="19">
        <v>2014</v>
      </c>
      <c r="U3" s="19">
        <v>2015</v>
      </c>
      <c r="X3" s="19">
        <v>2016</v>
      </c>
      <c r="AA3" s="19">
        <v>2017</v>
      </c>
      <c r="AD3" s="19">
        <v>2018</v>
      </c>
      <c r="AG3" s="19">
        <v>2019</v>
      </c>
      <c r="AI3" s="22"/>
      <c r="AJ3" s="19">
        <v>2018</v>
      </c>
      <c r="AM3" s="19">
        <v>2019</v>
      </c>
      <c r="AO3" s="22"/>
      <c r="AP3" s="19">
        <v>2018</v>
      </c>
      <c r="AS3" s="19">
        <v>2019</v>
      </c>
      <c r="AU3" s="22"/>
      <c r="AV3" s="19">
        <v>2018</v>
      </c>
      <c r="AY3" s="19">
        <v>2019</v>
      </c>
      <c r="BA3" s="22"/>
      <c r="BB3" s="19">
        <v>2018</v>
      </c>
      <c r="BE3" s="19">
        <v>2019</v>
      </c>
      <c r="BG3" s="23" t="s">
        <v>7</v>
      </c>
      <c r="BH3" s="24" t="s">
        <v>8</v>
      </c>
      <c r="BI3" s="24" t="s">
        <v>9</v>
      </c>
    </row>
    <row r="4" spans="1:61" s="36" customFormat="1" x14ac:dyDescent="0.4">
      <c r="A4" s="25"/>
      <c r="B4" s="26"/>
      <c r="C4" s="27" t="s">
        <v>10</v>
      </c>
      <c r="D4" s="28"/>
      <c r="E4" s="29"/>
      <c r="F4" s="30" t="s">
        <v>11</v>
      </c>
      <c r="G4" s="31"/>
      <c r="H4" s="32"/>
      <c r="I4" s="33" t="s">
        <v>12</v>
      </c>
      <c r="J4" s="31"/>
      <c r="K4" s="32"/>
      <c r="L4" s="33" t="s">
        <v>12</v>
      </c>
      <c r="M4" s="31"/>
      <c r="N4" s="34"/>
      <c r="O4" s="35" t="s">
        <v>13</v>
      </c>
      <c r="P4" s="31"/>
      <c r="Q4" s="32"/>
      <c r="R4" s="33" t="s">
        <v>12</v>
      </c>
      <c r="S4" s="31"/>
      <c r="T4" s="32"/>
      <c r="U4" s="33" t="s">
        <v>14</v>
      </c>
      <c r="V4" s="31"/>
      <c r="W4" s="32"/>
      <c r="X4" s="33" t="s">
        <v>14</v>
      </c>
      <c r="Y4" s="31"/>
      <c r="Z4" s="32"/>
      <c r="AA4" s="33" t="s">
        <v>14</v>
      </c>
      <c r="AB4" s="31"/>
      <c r="AC4" s="32"/>
      <c r="AD4" s="33" t="s">
        <v>14</v>
      </c>
      <c r="AE4" s="31"/>
      <c r="AF4" s="32"/>
      <c r="AG4" s="33" t="s">
        <v>14</v>
      </c>
      <c r="AI4" s="37"/>
      <c r="AJ4" s="33" t="s">
        <v>14</v>
      </c>
      <c r="AK4" s="31"/>
      <c r="AL4" s="32"/>
      <c r="AM4" s="33" t="s">
        <v>14</v>
      </c>
      <c r="AN4" s="31"/>
      <c r="AO4" s="37"/>
      <c r="AP4" s="33" t="s">
        <v>14</v>
      </c>
      <c r="AQ4" s="31"/>
      <c r="AR4" s="32"/>
      <c r="AS4" s="33" t="s">
        <v>14</v>
      </c>
      <c r="AU4" s="37"/>
      <c r="AV4" s="33" t="s">
        <v>14</v>
      </c>
      <c r="AW4" s="31"/>
      <c r="AX4" s="32"/>
      <c r="AY4" s="33" t="s">
        <v>14</v>
      </c>
      <c r="BA4" s="37"/>
      <c r="BB4" s="33" t="s">
        <v>14</v>
      </c>
      <c r="BC4" s="31"/>
      <c r="BD4" s="32"/>
      <c r="BE4" s="33" t="s">
        <v>14</v>
      </c>
    </row>
    <row r="5" spans="1:61" s="36" customFormat="1" ht="2.1" customHeight="1" x14ac:dyDescent="0.4">
      <c r="A5" s="25"/>
      <c r="B5" s="38"/>
      <c r="C5" s="39"/>
      <c r="D5" s="40"/>
      <c r="E5" s="41"/>
      <c r="F5" s="33"/>
      <c r="G5" s="31"/>
      <c r="H5" s="32"/>
      <c r="I5" s="33"/>
      <c r="J5" s="31"/>
      <c r="K5" s="32"/>
      <c r="L5" s="33"/>
      <c r="M5" s="31"/>
      <c r="N5" s="32"/>
      <c r="O5" s="33"/>
      <c r="P5" s="31"/>
      <c r="Q5" s="32"/>
      <c r="R5" s="33"/>
      <c r="S5" s="31"/>
      <c r="T5" s="32"/>
      <c r="U5" s="33"/>
      <c r="V5" s="31"/>
      <c r="W5" s="32"/>
      <c r="X5" s="33"/>
      <c r="Y5" s="31"/>
      <c r="Z5" s="32"/>
      <c r="AA5" s="33"/>
      <c r="AB5" s="31"/>
      <c r="AC5" s="32"/>
      <c r="AD5" s="33"/>
      <c r="AE5" s="31"/>
      <c r="AF5" s="32"/>
      <c r="AG5" s="33"/>
      <c r="AI5" s="37"/>
      <c r="AJ5" s="33"/>
      <c r="AK5" s="31"/>
      <c r="AL5" s="32"/>
      <c r="AM5" s="33"/>
      <c r="AN5" s="31"/>
      <c r="AO5" s="37"/>
      <c r="AP5" s="33"/>
      <c r="AQ5" s="31"/>
      <c r="AR5" s="32"/>
      <c r="AS5" s="33"/>
      <c r="AU5" s="37"/>
      <c r="AV5" s="33"/>
      <c r="AW5" s="31"/>
      <c r="AX5" s="32"/>
      <c r="AY5" s="33"/>
      <c r="BA5" s="37"/>
      <c r="BB5" s="33"/>
      <c r="BC5" s="31"/>
      <c r="BD5" s="32"/>
      <c r="BE5" s="33"/>
    </row>
    <row r="6" spans="1:61" s="49" customFormat="1" x14ac:dyDescent="0.4">
      <c r="A6" s="42" t="s">
        <v>15</v>
      </c>
      <c r="B6" s="43"/>
      <c r="C6" s="44"/>
      <c r="D6" s="44"/>
      <c r="E6" s="45"/>
      <c r="F6" s="46"/>
      <c r="G6" s="47"/>
      <c r="H6" s="48"/>
      <c r="I6" s="46"/>
      <c r="J6" s="47"/>
      <c r="K6" s="48"/>
      <c r="L6" s="46"/>
      <c r="M6" s="47"/>
      <c r="N6" s="48"/>
      <c r="O6" s="46"/>
      <c r="P6" s="47"/>
      <c r="Q6" s="48"/>
      <c r="R6" s="46"/>
      <c r="S6" s="47"/>
      <c r="T6" s="48"/>
      <c r="U6" s="46"/>
      <c r="V6" s="47"/>
      <c r="W6" s="48"/>
      <c r="X6" s="46"/>
      <c r="Y6" s="47"/>
      <c r="Z6" s="48"/>
      <c r="AA6" s="46"/>
      <c r="AB6" s="47"/>
      <c r="AC6" s="48"/>
      <c r="AD6" s="46"/>
      <c r="AE6" s="47"/>
      <c r="AF6" s="48"/>
      <c r="AG6" s="46"/>
      <c r="AI6" s="50"/>
      <c r="AJ6" s="46"/>
      <c r="AK6" s="47"/>
      <c r="AL6" s="48"/>
      <c r="AM6" s="46"/>
      <c r="AN6" s="47"/>
      <c r="AO6" s="50"/>
      <c r="AP6" s="46"/>
      <c r="AQ6" s="47"/>
      <c r="AR6" s="48"/>
      <c r="AS6" s="46"/>
      <c r="AU6" s="50"/>
      <c r="AV6" s="46"/>
      <c r="AW6" s="47"/>
      <c r="AX6" s="48"/>
      <c r="AY6" s="46"/>
      <c r="BA6" s="50"/>
      <c r="BB6" s="46"/>
      <c r="BC6" s="47"/>
      <c r="BD6" s="48"/>
      <c r="BE6" s="46"/>
    </row>
    <row r="7" spans="1:61" hidden="1" outlineLevel="1" x14ac:dyDescent="0.4">
      <c r="B7" s="51" t="s">
        <v>16</v>
      </c>
      <c r="E7" s="52"/>
      <c r="F7" s="53"/>
      <c r="G7" s="54"/>
      <c r="I7" s="53"/>
      <c r="J7" s="54"/>
      <c r="L7" s="53"/>
      <c r="M7" s="54"/>
      <c r="O7" s="53"/>
      <c r="P7" s="54"/>
      <c r="R7" s="55"/>
      <c r="S7" s="54"/>
      <c r="U7" s="53"/>
      <c r="V7" s="54"/>
      <c r="X7" s="53"/>
      <c r="Y7" s="54"/>
      <c r="AA7" s="53"/>
      <c r="AB7" s="54"/>
      <c r="AD7" s="53"/>
      <c r="AE7" s="54"/>
      <c r="AG7" s="53"/>
      <c r="AI7" s="22"/>
      <c r="AJ7" s="53"/>
      <c r="AK7" s="54"/>
      <c r="AM7" s="53"/>
      <c r="AN7" s="54"/>
      <c r="AO7" s="22"/>
      <c r="AP7" s="53"/>
      <c r="AQ7" s="54"/>
      <c r="AS7" s="53"/>
      <c r="AU7" s="22"/>
      <c r="AV7" s="53"/>
      <c r="AW7" s="54"/>
      <c r="AY7" s="53"/>
      <c r="BA7" s="22"/>
      <c r="BB7" s="53"/>
      <c r="BC7" s="54"/>
      <c r="BE7" s="53"/>
    </row>
    <row r="8" spans="1:61" hidden="1" outlineLevel="1" x14ac:dyDescent="0.4">
      <c r="C8" s="56" t="s">
        <v>17</v>
      </c>
      <c r="D8" s="57"/>
      <c r="E8" s="58"/>
      <c r="F8" s="59">
        <v>49919.725406979574</v>
      </c>
      <c r="G8" s="54"/>
      <c r="H8" s="60">
        <f>1-F8/I8</f>
        <v>-1.4607943069847584E-2</v>
      </c>
      <c r="I8" s="59">
        <v>49201</v>
      </c>
      <c r="J8" s="54"/>
      <c r="K8" s="60">
        <f>1-I8/L8</f>
        <v>1.2642732435632409E-2</v>
      </c>
      <c r="L8" s="59">
        <v>49831</v>
      </c>
      <c r="M8" s="54"/>
      <c r="N8" s="60">
        <f>1-I8/O8</f>
        <v>1.9448506684466627E-2</v>
      </c>
      <c r="O8" s="59">
        <v>50176.865096229601</v>
      </c>
      <c r="P8" s="54"/>
      <c r="Q8" s="60">
        <f>1-L8/R8</f>
        <v>1.4691343378020361E-2</v>
      </c>
      <c r="R8" s="61">
        <v>50574</v>
      </c>
      <c r="S8" s="54"/>
      <c r="T8" s="60">
        <f>1-R8/U8</f>
        <v>7.9118978834888942E-3</v>
      </c>
      <c r="U8" s="59">
        <v>50977.327408831858</v>
      </c>
      <c r="V8" s="54"/>
      <c r="W8" s="60">
        <f>1-U8/X8</f>
        <v>1.4778540914560989E-2</v>
      </c>
      <c r="X8" s="59">
        <v>51741.998652925271</v>
      </c>
      <c r="Y8" s="54"/>
      <c r="Z8" s="60">
        <f>1-X8/AA8</f>
        <v>1.4778484650575963E-2</v>
      </c>
      <c r="AA8" s="59">
        <v>52518.137136473488</v>
      </c>
      <c r="AB8" s="54"/>
      <c r="AC8" s="60">
        <f>1-AA8/AD8</f>
        <v>1.864547781266479E-2</v>
      </c>
      <c r="AD8" s="59">
        <v>53515.967929119157</v>
      </c>
      <c r="AE8" s="54"/>
      <c r="AF8" s="60">
        <f>1-AD8/AG8</f>
        <v>1.8650166459844186E-2</v>
      </c>
      <c r="AG8" s="59">
        <v>54533.01778843104</v>
      </c>
      <c r="AI8" s="62">
        <f t="shared" ref="AI8:AI16" si="0">AJ8/AV8</f>
        <v>-5.5168437670248304E-3</v>
      </c>
      <c r="AJ8" s="59">
        <f>AD8-AV8</f>
        <v>-296.87705845557502</v>
      </c>
      <c r="AK8" s="54"/>
      <c r="AL8" s="60">
        <f>AM8/AY8</f>
        <v>-4.5359249654734054E-3</v>
      </c>
      <c r="AM8" s="59">
        <f>AG8-AY8</f>
        <v>-248.48478516974137</v>
      </c>
      <c r="AN8" s="54"/>
      <c r="AO8" s="62">
        <f>AP8/AV8</f>
        <v>-1.0735355102176566E-2</v>
      </c>
      <c r="AP8" s="59">
        <f t="shared" ref="AP8:AP16" si="1">AD8-BB8</f>
        <v>-577.69999999999709</v>
      </c>
      <c r="AQ8" s="54"/>
      <c r="AR8" s="62">
        <f>AS8/AY8</f>
        <v>-2.1604007637613228E-2</v>
      </c>
      <c r="AS8" s="59">
        <f t="shared" ref="AS8:AS16" si="2">AG8-BE8</f>
        <v>-1183.5</v>
      </c>
      <c r="AU8" s="62">
        <v>2.4059457391635619E-2</v>
      </c>
      <c r="AV8" s="59">
        <v>53812.844987574732</v>
      </c>
      <c r="AW8" s="54"/>
      <c r="AX8" s="60">
        <v>1.7682201847687984E-2</v>
      </c>
      <c r="AY8" s="59">
        <v>54781.502573600781</v>
      </c>
      <c r="BA8" s="62">
        <v>2.9125974498718454E-2</v>
      </c>
      <c r="BB8" s="59">
        <v>54093.667929119154</v>
      </c>
      <c r="BC8" s="54"/>
      <c r="BD8" s="60">
        <v>2.9126907490418463E-2</v>
      </c>
      <c r="BE8" s="59">
        <v>55716.51778843104</v>
      </c>
    </row>
    <row r="9" spans="1:61" hidden="1" outlineLevel="1" x14ac:dyDescent="0.4">
      <c r="C9" s="56" t="s">
        <v>18</v>
      </c>
      <c r="D9" s="57"/>
      <c r="E9" s="58"/>
      <c r="F9" s="59">
        <v>3961</v>
      </c>
      <c r="G9" s="54"/>
      <c r="H9" s="60">
        <f t="shared" ref="H9:H16" si="3">1-F9/I9</f>
        <v>-1.9562419562419553E-2</v>
      </c>
      <c r="I9" s="59">
        <v>3885</v>
      </c>
      <c r="J9" s="54"/>
      <c r="K9" s="60">
        <f t="shared" ref="K9:K16" si="4">1-I9/L9</f>
        <v>9.9388379204893296E-3</v>
      </c>
      <c r="L9" s="59">
        <v>3924</v>
      </c>
      <c r="M9" s="54"/>
      <c r="N9" s="60">
        <f t="shared" ref="N9:N14" si="5">1-I9/O9</f>
        <v>9.9300093636121023E-3</v>
      </c>
      <c r="O9" s="59">
        <v>3923.9650092846832</v>
      </c>
      <c r="P9" s="54"/>
      <c r="Q9" s="60">
        <f t="shared" ref="Q9:Q16" si="6">1-L9/R9</f>
        <v>1.4318010550113058E-2</v>
      </c>
      <c r="R9" s="61">
        <v>3981</v>
      </c>
      <c r="S9" s="54"/>
      <c r="T9" s="60">
        <f t="shared" ref="T9:T16" si="7">1-R9/U9</f>
        <v>5.3637650525619751E-3</v>
      </c>
      <c r="U9" s="59">
        <v>4002.4682995893245</v>
      </c>
      <c r="V9" s="54"/>
      <c r="W9" s="60">
        <f t="shared" ref="W9:W16" si="8">1-U9/X9</f>
        <v>1.4775352164499989E-2</v>
      </c>
      <c r="X9" s="59">
        <v>4062.4930652948956</v>
      </c>
      <c r="Y9" s="54"/>
      <c r="Z9" s="60">
        <f t="shared" ref="Z9:Z16" si="9">1-X9/AA9</f>
        <v>1.4765140720004233E-2</v>
      </c>
      <c r="AA9" s="59">
        <v>4123.3752815686439</v>
      </c>
      <c r="AB9" s="54"/>
      <c r="AC9" s="60">
        <f t="shared" ref="AC9:AC16" si="10">1-AA9/AD9</f>
        <v>1.8714983148178543E-2</v>
      </c>
      <c r="AD9" s="59">
        <v>4202.0159390564631</v>
      </c>
      <c r="AE9" s="54"/>
      <c r="AF9" s="60">
        <f t="shared" ref="AF9:AF16" si="11">1-AD9/AG9</f>
        <v>1.8682810838073216E-2</v>
      </c>
      <c r="AG9" s="59">
        <v>4282.0160346371858</v>
      </c>
      <c r="AI9" s="62">
        <f t="shared" si="0"/>
        <v>-4.5328190680649404E-3</v>
      </c>
      <c r="AJ9" s="59">
        <f t="shared" ref="AJ9:AJ15" si="12">AD9-AV9</f>
        <v>-19.133707607554243</v>
      </c>
      <c r="AK9" s="54"/>
      <c r="AL9" s="60">
        <f t="shared" ref="AL9:AL16" si="13">AM9/AY9</f>
        <v>-3.512720764280176E-3</v>
      </c>
      <c r="AM9" s="59">
        <f t="shared" ref="AM9:AM15" si="14">AG9-AY9</f>
        <v>-15.094549575572273</v>
      </c>
      <c r="AN9" s="54"/>
      <c r="AO9" s="62">
        <f t="shared" ref="AO9:AO16" si="15">AP9/AV9</f>
        <v>-1.0684293089595386E-2</v>
      </c>
      <c r="AP9" s="59">
        <f t="shared" si="1"/>
        <v>-45.100000000000364</v>
      </c>
      <c r="AQ9" s="54"/>
      <c r="AR9" s="62">
        <f t="shared" ref="AR9:AR16" si="16">AS9/AY9</f>
        <v>-2.1526092518967893E-2</v>
      </c>
      <c r="AS9" s="59">
        <f t="shared" si="2"/>
        <v>-92.5</v>
      </c>
      <c r="AU9" s="62">
        <v>2.3162970583770925E-2</v>
      </c>
      <c r="AV9" s="59">
        <v>4221.1496466640174</v>
      </c>
      <c r="AW9" s="54"/>
      <c r="AX9" s="60">
        <v>1.7677212643262052E-2</v>
      </c>
      <c r="AY9" s="59">
        <v>4297.1105842127581</v>
      </c>
      <c r="BA9" s="62">
        <v>2.913522005601521E-2</v>
      </c>
      <c r="BB9" s="59">
        <v>4247.1159390564635</v>
      </c>
      <c r="BC9" s="54"/>
      <c r="BD9" s="60">
        <v>2.9123243479272976E-2</v>
      </c>
      <c r="BE9" s="59">
        <v>4374.5160346371858</v>
      </c>
    </row>
    <row r="10" spans="1:61" hidden="1" outlineLevel="1" x14ac:dyDescent="0.4">
      <c r="C10" s="56" t="s">
        <v>19</v>
      </c>
      <c r="D10" s="57"/>
      <c r="E10" s="58"/>
      <c r="F10" s="59">
        <v>518</v>
      </c>
      <c r="G10" s="54"/>
      <c r="H10" s="60">
        <f t="shared" si="3"/>
        <v>-3.6000000000000032E-2</v>
      </c>
      <c r="I10" s="59">
        <f>376+124</f>
        <v>500</v>
      </c>
      <c r="J10" s="54"/>
      <c r="K10" s="60">
        <f t="shared" si="4"/>
        <v>0</v>
      </c>
      <c r="L10" s="59">
        <f>376+124</f>
        <v>500</v>
      </c>
      <c r="M10" s="54"/>
      <c r="N10" s="60">
        <f t="shared" si="5"/>
        <v>0</v>
      </c>
      <c r="O10" s="59">
        <v>500</v>
      </c>
      <c r="P10" s="54"/>
      <c r="Q10" s="60">
        <f t="shared" si="6"/>
        <v>9.9009900990099098E-3</v>
      </c>
      <c r="R10" s="61">
        <v>505</v>
      </c>
      <c r="S10" s="54"/>
      <c r="T10" s="60">
        <f t="shared" si="7"/>
        <v>3.9447731755424265E-3</v>
      </c>
      <c r="U10" s="59">
        <v>507</v>
      </c>
      <c r="V10" s="54"/>
      <c r="W10" s="60">
        <f t="shared" si="8"/>
        <v>1.4768752429071164E-2</v>
      </c>
      <c r="X10" s="59">
        <v>514.6</v>
      </c>
      <c r="Y10" s="54"/>
      <c r="Z10" s="60">
        <f t="shared" si="9"/>
        <v>1.4742485161784336E-2</v>
      </c>
      <c r="AA10" s="59">
        <v>522.29999999999995</v>
      </c>
      <c r="AB10" s="54"/>
      <c r="AC10" s="60">
        <f t="shared" si="10"/>
        <v>1.8233082706767045E-2</v>
      </c>
      <c r="AD10" s="59">
        <v>532</v>
      </c>
      <c r="AE10" s="54"/>
      <c r="AF10" s="60">
        <f t="shared" si="11"/>
        <v>1.8450184501844991E-2</v>
      </c>
      <c r="AG10" s="59">
        <v>542</v>
      </c>
      <c r="AI10" s="62">
        <f t="shared" si="0"/>
        <v>1.1791555724610206E-2</v>
      </c>
      <c r="AJ10" s="59">
        <f t="shared" si="12"/>
        <v>6.2000000000000455</v>
      </c>
      <c r="AK10" s="54"/>
      <c r="AL10" s="60">
        <f t="shared" si="13"/>
        <v>1.2516345974220149E-2</v>
      </c>
      <c r="AM10" s="59">
        <f t="shared" si="14"/>
        <v>6.7000000000000455</v>
      </c>
      <c r="AN10" s="54"/>
      <c r="AO10" s="62">
        <f t="shared" si="15"/>
        <v>-1.1411182959300116E-2</v>
      </c>
      <c r="AP10" s="59">
        <f t="shared" si="1"/>
        <v>-6</v>
      </c>
      <c r="AQ10" s="54"/>
      <c r="AR10" s="62">
        <f t="shared" si="16"/>
        <v>-2.2604147207173592E-2</v>
      </c>
      <c r="AS10" s="59">
        <f t="shared" si="2"/>
        <v>-12.100000000000023</v>
      </c>
      <c r="AU10" s="62">
        <v>6.6565233929251066E-3</v>
      </c>
      <c r="AV10" s="59">
        <v>525.79999999999995</v>
      </c>
      <c r="AW10" s="54"/>
      <c r="AX10" s="60">
        <v>1.7747057724640358E-2</v>
      </c>
      <c r="AY10" s="59">
        <v>535.29999999999995</v>
      </c>
      <c r="BA10" s="62">
        <v>2.9182156133829129E-2</v>
      </c>
      <c r="BB10" s="59">
        <v>538</v>
      </c>
      <c r="BC10" s="54"/>
      <c r="BD10" s="60">
        <v>2.9056127052878633E-2</v>
      </c>
      <c r="BE10" s="59">
        <v>554.1</v>
      </c>
    </row>
    <row r="11" spans="1:61" hidden="1" outlineLevel="1" x14ac:dyDescent="0.4">
      <c r="C11" s="56" t="s">
        <v>20</v>
      </c>
      <c r="D11" s="57"/>
      <c r="E11" s="58"/>
      <c r="F11" s="59">
        <v>10</v>
      </c>
      <c r="G11" s="54"/>
      <c r="H11" s="60">
        <f t="shared" si="3"/>
        <v>9.0909090909090939E-2</v>
      </c>
      <c r="I11" s="59">
        <v>11</v>
      </c>
      <c r="J11" s="54"/>
      <c r="K11" s="60">
        <f t="shared" si="4"/>
        <v>0</v>
      </c>
      <c r="L11" s="59">
        <v>11</v>
      </c>
      <c r="M11" s="54"/>
      <c r="N11" s="60">
        <f t="shared" si="5"/>
        <v>0</v>
      </c>
      <c r="O11" s="59">
        <v>11</v>
      </c>
      <c r="P11" s="54"/>
      <c r="Q11" s="60">
        <f t="shared" si="6"/>
        <v>0</v>
      </c>
      <c r="R11" s="61">
        <v>11</v>
      </c>
      <c r="S11" s="54"/>
      <c r="T11" s="60">
        <f t="shared" si="7"/>
        <v>8.333333333333337E-2</v>
      </c>
      <c r="U11" s="59">
        <v>12</v>
      </c>
      <c r="V11" s="54"/>
      <c r="W11" s="60">
        <f t="shared" si="8"/>
        <v>0</v>
      </c>
      <c r="X11" s="59">
        <v>12</v>
      </c>
      <c r="Y11" s="54"/>
      <c r="Z11" s="60">
        <f t="shared" si="9"/>
        <v>0</v>
      </c>
      <c r="AA11" s="59">
        <v>12</v>
      </c>
      <c r="AB11" s="54"/>
      <c r="AC11" s="60">
        <f t="shared" si="10"/>
        <v>0</v>
      </c>
      <c r="AD11" s="59">
        <v>12</v>
      </c>
      <c r="AE11" s="54"/>
      <c r="AF11" s="60">
        <f t="shared" si="11"/>
        <v>0</v>
      </c>
      <c r="AG11" s="59">
        <v>12</v>
      </c>
      <c r="AI11" s="62">
        <f t="shared" si="0"/>
        <v>-9.0909090909090856E-2</v>
      </c>
      <c r="AJ11" s="59">
        <f t="shared" si="12"/>
        <v>-1.1999999999999993</v>
      </c>
      <c r="AK11" s="54"/>
      <c r="AL11" s="60">
        <f t="shared" si="13"/>
        <v>-0.15492957746478869</v>
      </c>
      <c r="AM11" s="59">
        <f t="shared" si="14"/>
        <v>-2.1999999999999993</v>
      </c>
      <c r="AN11" s="54"/>
      <c r="AO11" s="62">
        <f t="shared" si="15"/>
        <v>-7.575757575757576E-2</v>
      </c>
      <c r="AP11" s="59">
        <f t="shared" si="1"/>
        <v>-1</v>
      </c>
      <c r="AQ11" s="54"/>
      <c r="AR11" s="62">
        <f t="shared" si="16"/>
        <v>-7.0422535211267609E-2</v>
      </c>
      <c r="AS11" s="59">
        <f t="shared" si="2"/>
        <v>-1</v>
      </c>
      <c r="AU11" s="62">
        <v>9.0909090909090828E-2</v>
      </c>
      <c r="AV11" s="59">
        <v>13.2</v>
      </c>
      <c r="AW11" s="54"/>
      <c r="AX11" s="60">
        <v>7.0422535211267623E-2</v>
      </c>
      <c r="AY11" s="59">
        <v>14.2</v>
      </c>
      <c r="BA11" s="62">
        <v>7.6923076923076872E-2</v>
      </c>
      <c r="BB11" s="59">
        <v>13</v>
      </c>
      <c r="BC11" s="54"/>
      <c r="BD11" s="60">
        <v>0</v>
      </c>
      <c r="BE11" s="59">
        <v>13</v>
      </c>
    </row>
    <row r="12" spans="1:61" hidden="1" outlineLevel="1" x14ac:dyDescent="0.4">
      <c r="C12" s="56" t="s">
        <v>21</v>
      </c>
      <c r="D12" s="57"/>
      <c r="E12" s="58"/>
      <c r="F12" s="59">
        <v>1</v>
      </c>
      <c r="G12" s="54"/>
      <c r="H12" s="60">
        <f t="shared" si="3"/>
        <v>0</v>
      </c>
      <c r="I12" s="59">
        <v>1</v>
      </c>
      <c r="J12" s="54"/>
      <c r="K12" s="60">
        <f t="shared" si="4"/>
        <v>0</v>
      </c>
      <c r="L12" s="59">
        <v>1</v>
      </c>
      <c r="M12" s="54"/>
      <c r="N12" s="60">
        <f t="shared" si="5"/>
        <v>0</v>
      </c>
      <c r="O12" s="59">
        <v>1</v>
      </c>
      <c r="P12" s="54"/>
      <c r="Q12" s="60">
        <f t="shared" si="6"/>
        <v>0</v>
      </c>
      <c r="R12" s="61">
        <v>1</v>
      </c>
      <c r="S12" s="54"/>
      <c r="T12" s="60">
        <f t="shared" si="7"/>
        <v>0</v>
      </c>
      <c r="U12" s="59">
        <v>1</v>
      </c>
      <c r="V12" s="54"/>
      <c r="W12" s="60">
        <f t="shared" si="8"/>
        <v>0</v>
      </c>
      <c r="X12" s="59">
        <v>1</v>
      </c>
      <c r="Y12" s="54"/>
      <c r="Z12" s="60">
        <f t="shared" si="9"/>
        <v>0</v>
      </c>
      <c r="AA12" s="59">
        <v>1</v>
      </c>
      <c r="AB12" s="54"/>
      <c r="AC12" s="60">
        <f t="shared" si="10"/>
        <v>0</v>
      </c>
      <c r="AD12" s="59">
        <v>1</v>
      </c>
      <c r="AE12" s="54"/>
      <c r="AF12" s="60">
        <f t="shared" si="11"/>
        <v>0</v>
      </c>
      <c r="AG12" s="59">
        <v>1</v>
      </c>
      <c r="AI12" s="62">
        <f t="shared" si="0"/>
        <v>0</v>
      </c>
      <c r="AJ12" s="59">
        <f t="shared" si="12"/>
        <v>0</v>
      </c>
      <c r="AK12" s="54"/>
      <c r="AL12" s="60">
        <f t="shared" si="13"/>
        <v>0</v>
      </c>
      <c r="AM12" s="59">
        <f t="shared" si="14"/>
        <v>0</v>
      </c>
      <c r="AN12" s="54"/>
      <c r="AO12" s="62">
        <f t="shared" si="15"/>
        <v>0</v>
      </c>
      <c r="AP12" s="59">
        <f t="shared" si="1"/>
        <v>0</v>
      </c>
      <c r="AQ12" s="54"/>
      <c r="AR12" s="62">
        <f t="shared" si="16"/>
        <v>0</v>
      </c>
      <c r="AS12" s="59">
        <f t="shared" si="2"/>
        <v>0</v>
      </c>
      <c r="AU12" s="62">
        <v>0</v>
      </c>
      <c r="AV12" s="59">
        <v>1</v>
      </c>
      <c r="AW12" s="54"/>
      <c r="AX12" s="60">
        <v>0</v>
      </c>
      <c r="AY12" s="59">
        <v>1</v>
      </c>
      <c r="BA12" s="62">
        <v>0</v>
      </c>
      <c r="BB12" s="59">
        <v>1</v>
      </c>
      <c r="BC12" s="54"/>
      <c r="BD12" s="60">
        <v>0</v>
      </c>
      <c r="BE12" s="59">
        <v>1</v>
      </c>
    </row>
    <row r="13" spans="1:61" hidden="1" outlineLevel="1" x14ac:dyDescent="0.4">
      <c r="C13" s="56" t="s">
        <v>22</v>
      </c>
      <c r="D13" s="57"/>
      <c r="E13" s="58"/>
      <c r="F13" s="59">
        <v>12761.899782618997</v>
      </c>
      <c r="G13" s="54"/>
      <c r="H13" s="60">
        <f t="shared" si="3"/>
        <v>-3.9242653307735909E-2</v>
      </c>
      <c r="I13" s="59">
        <v>12280</v>
      </c>
      <c r="J13" s="54"/>
      <c r="K13" s="60">
        <f t="shared" si="4"/>
        <v>8.4779975777149463E-3</v>
      </c>
      <c r="L13" s="59">
        <v>12385</v>
      </c>
      <c r="M13" s="54"/>
      <c r="N13" s="60">
        <f t="shared" si="5"/>
        <v>2.3906692013557884E-2</v>
      </c>
      <c r="O13" s="59">
        <v>12580.764461270714</v>
      </c>
      <c r="P13" s="54"/>
      <c r="Q13" s="60">
        <f t="shared" si="6"/>
        <v>1.2675382653061229E-2</v>
      </c>
      <c r="R13" s="61">
        <v>12544</v>
      </c>
      <c r="S13" s="54"/>
      <c r="T13" s="60">
        <f t="shared" si="7"/>
        <v>1.3048698760560251E-2</v>
      </c>
      <c r="U13" s="59">
        <v>12709.846964330369</v>
      </c>
      <c r="V13" s="54"/>
      <c r="W13" s="60">
        <f t="shared" si="8"/>
        <v>1.9303691462133621E-2</v>
      </c>
      <c r="X13" s="59">
        <v>12960.023254578835</v>
      </c>
      <c r="Y13" s="54"/>
      <c r="Z13" s="60">
        <f t="shared" si="9"/>
        <v>1.9303691462133732E-2</v>
      </c>
      <c r="AA13" s="59">
        <v>13215.123929548703</v>
      </c>
      <c r="AB13" s="54"/>
      <c r="AC13" s="60">
        <f t="shared" si="10"/>
        <v>1.8633679931449709E-2</v>
      </c>
      <c r="AD13" s="59">
        <v>13466.045919148317</v>
      </c>
      <c r="AE13" s="54"/>
      <c r="AF13" s="60">
        <f t="shared" si="11"/>
        <v>1.8651972362244362E-2</v>
      </c>
      <c r="AG13" s="59">
        <v>13721.988061221264</v>
      </c>
      <c r="AI13" s="62">
        <f t="shared" si="0"/>
        <v>-4.581913299413732E-4</v>
      </c>
      <c r="AJ13" s="59">
        <f t="shared" si="12"/>
        <v>-6.1728538368552108</v>
      </c>
      <c r="AK13" s="54"/>
      <c r="AL13" s="60">
        <f t="shared" si="13"/>
        <v>-1.1070317084046883E-3</v>
      </c>
      <c r="AM13" s="59">
        <f t="shared" si="14"/>
        <v>-15.207511083097415</v>
      </c>
      <c r="AN13" s="54"/>
      <c r="AO13" s="62">
        <f t="shared" si="15"/>
        <v>-6.828867727748599E-4</v>
      </c>
      <c r="AP13" s="59">
        <f t="shared" si="1"/>
        <v>-9.2000000000007276</v>
      </c>
      <c r="AQ13" s="54"/>
      <c r="AR13" s="62">
        <f t="shared" si="16"/>
        <v>-1.3467086424319354E-3</v>
      </c>
      <c r="AS13" s="59">
        <f t="shared" si="2"/>
        <v>-18.5</v>
      </c>
      <c r="AU13" s="62">
        <v>1.90833334708016E-2</v>
      </c>
      <c r="AV13" s="59">
        <v>13472.218772985172</v>
      </c>
      <c r="AW13" s="54"/>
      <c r="AX13" s="60">
        <v>1.9289002469573213E-2</v>
      </c>
      <c r="AY13" s="59">
        <v>13737.195572304361</v>
      </c>
      <c r="BA13" s="62">
        <v>1.9303691462133621E-2</v>
      </c>
      <c r="BB13" s="59">
        <v>13475.245919148318</v>
      </c>
      <c r="BC13" s="54"/>
      <c r="BD13" s="60">
        <v>1.9303691462133621E-2</v>
      </c>
      <c r="BE13" s="59">
        <v>13740.488061221264</v>
      </c>
    </row>
    <row r="14" spans="1:61" hidden="1" outlineLevel="1" x14ac:dyDescent="0.4">
      <c r="C14" s="56" t="s">
        <v>23</v>
      </c>
      <c r="D14" s="57"/>
      <c r="E14" s="63"/>
      <c r="F14" s="59">
        <v>313.0793844964528</v>
      </c>
      <c r="G14" s="54"/>
      <c r="H14" s="60">
        <f>IFERROR(1-F14/I14,0)</f>
        <v>-6.1286049140518051E-2</v>
      </c>
      <c r="I14" s="59">
        <v>295</v>
      </c>
      <c r="J14" s="54"/>
      <c r="K14" s="60">
        <f t="shared" si="4"/>
        <v>0</v>
      </c>
      <c r="L14" s="59">
        <v>295</v>
      </c>
      <c r="M14" s="54"/>
      <c r="N14" s="60">
        <f t="shared" si="5"/>
        <v>1.0216331842617388E-3</v>
      </c>
      <c r="O14" s="59">
        <v>295.30169000587858</v>
      </c>
      <c r="P14" s="54"/>
      <c r="Q14" s="60">
        <f t="shared" si="6"/>
        <v>3.3783783783783994E-3</v>
      </c>
      <c r="R14" s="61">
        <v>296</v>
      </c>
      <c r="S14" s="54"/>
      <c r="T14" s="60">
        <f t="shared" si="7"/>
        <v>-6.0761704077383349E-4</v>
      </c>
      <c r="U14" s="59">
        <v>295.82025457231583</v>
      </c>
      <c r="V14" s="54"/>
      <c r="W14" s="60">
        <f t="shared" si="8"/>
        <v>1.0825985285517481E-3</v>
      </c>
      <c r="X14" s="59">
        <v>296.14085622751179</v>
      </c>
      <c r="Y14" s="54"/>
      <c r="Z14" s="60">
        <f t="shared" si="9"/>
        <v>1.0825985285518591E-3</v>
      </c>
      <c r="AA14" s="59">
        <v>296.46180534174658</v>
      </c>
      <c r="AB14" s="54"/>
      <c r="AC14" s="60">
        <f t="shared" si="10"/>
        <v>1.0825985285517481E-3</v>
      </c>
      <c r="AD14" s="59">
        <v>296.78310229158649</v>
      </c>
      <c r="AE14" s="54"/>
      <c r="AF14" s="60">
        <f t="shared" si="11"/>
        <v>1.0825985285518591E-3</v>
      </c>
      <c r="AG14" s="59">
        <v>297.10474745400597</v>
      </c>
      <c r="AI14" s="62">
        <f t="shared" si="0"/>
        <v>9.6112162181988661E-2</v>
      </c>
      <c r="AJ14" s="59">
        <f t="shared" si="12"/>
        <v>26.023309150716955</v>
      </c>
      <c r="AK14" s="54"/>
      <c r="AL14" s="60">
        <f t="shared" si="13"/>
        <v>0.10283869677214853</v>
      </c>
      <c r="AM14" s="59">
        <f t="shared" si="14"/>
        <v>27.704745147604172</v>
      </c>
      <c r="AN14" s="54"/>
      <c r="AO14" s="62">
        <f t="shared" si="15"/>
        <v>0</v>
      </c>
      <c r="AP14" s="59">
        <f t="shared" si="1"/>
        <v>0</v>
      </c>
      <c r="AQ14" s="54"/>
      <c r="AR14" s="62">
        <f t="shared" si="16"/>
        <v>0</v>
      </c>
      <c r="AS14" s="59">
        <f t="shared" si="2"/>
        <v>0</v>
      </c>
      <c r="AU14" s="62">
        <v>-9.4925512768082809E-2</v>
      </c>
      <c r="AV14" s="59">
        <v>270.75979314086953</v>
      </c>
      <c r="AW14" s="54"/>
      <c r="AX14" s="60">
        <v>-5.0474789266006237E-3</v>
      </c>
      <c r="AY14" s="59">
        <v>269.4000023064018</v>
      </c>
      <c r="BA14" s="62">
        <v>1.0825985285517481E-3</v>
      </c>
      <c r="BB14" s="59">
        <v>296.78310229158649</v>
      </c>
      <c r="BC14" s="54"/>
      <c r="BD14" s="60">
        <v>1.0825985285518591E-3</v>
      </c>
      <c r="BE14" s="59">
        <v>297.10474745400597</v>
      </c>
    </row>
    <row r="15" spans="1:61" hidden="1" outlineLevel="1" x14ac:dyDescent="0.4">
      <c r="C15" s="56" t="s">
        <v>24</v>
      </c>
      <c r="D15" s="57"/>
      <c r="E15" s="58"/>
      <c r="F15" s="59">
        <v>22.307657589073369</v>
      </c>
      <c r="G15" s="54"/>
      <c r="H15" s="60">
        <f>IFERROR(1-F15/I15,0)</f>
        <v>0</v>
      </c>
      <c r="I15" s="59"/>
      <c r="J15" s="54"/>
      <c r="K15" s="60">
        <f>IFERROR(1-I15/L15,0)</f>
        <v>0</v>
      </c>
      <c r="L15" s="59"/>
      <c r="M15" s="54"/>
      <c r="N15" s="60">
        <f>IFERROR(1-I15/O15,0)</f>
        <v>1</v>
      </c>
      <c r="O15" s="59">
        <v>23.144641405622657</v>
      </c>
      <c r="P15" s="54"/>
      <c r="Q15" s="60">
        <f>IFERROR(1-L15/R15,0)</f>
        <v>0</v>
      </c>
      <c r="R15" s="61"/>
      <c r="S15" s="54"/>
      <c r="T15" s="60">
        <f>IFERROR(1-R15/U15,0)</f>
        <v>1</v>
      </c>
      <c r="U15" s="59">
        <v>23.221124933174856</v>
      </c>
      <c r="V15" s="54"/>
      <c r="W15" s="60">
        <f>IFERROR(1-U15/X15,0)</f>
        <v>-3.3541659547785319E-2</v>
      </c>
      <c r="X15" s="59">
        <v>22.46752679842146</v>
      </c>
      <c r="Y15" s="54"/>
      <c r="Z15" s="60">
        <f>IFERROR(1-X15/AA15,0)</f>
        <v>-3.3541659547785541E-2</v>
      </c>
      <c r="AA15" s="59">
        <v>21.738385280233285</v>
      </c>
      <c r="AB15" s="54"/>
      <c r="AC15" s="60">
        <f>IFERROR(1-AA15/AD15,0)</f>
        <v>-3.3541659547785319E-2</v>
      </c>
      <c r="AD15" s="59">
        <v>21.032906684907768</v>
      </c>
      <c r="AE15" s="54"/>
      <c r="AF15" s="60">
        <f>IFERROR(1-AD15/AG15,0)</f>
        <v>-3.3541659547785319E-2</v>
      </c>
      <c r="AG15" s="59">
        <v>20.350323076585497</v>
      </c>
      <c r="AI15" s="62">
        <f t="shared" si="0"/>
        <v>-7.330799670594805E-2</v>
      </c>
      <c r="AJ15" s="59">
        <f t="shared" si="12"/>
        <v>-1.6638540620755435</v>
      </c>
      <c r="AK15" s="54"/>
      <c r="AL15" s="60">
        <f t="shared" si="13"/>
        <v>-7.7999599427709912E-2</v>
      </c>
      <c r="AM15" s="59">
        <f t="shared" si="14"/>
        <v>-1.7216012565861085</v>
      </c>
      <c r="AN15" s="54"/>
      <c r="AO15" s="62">
        <f t="shared" si="15"/>
        <v>0</v>
      </c>
      <c r="AP15" s="59">
        <f t="shared" si="1"/>
        <v>0</v>
      </c>
      <c r="AQ15" s="54"/>
      <c r="AR15" s="62">
        <f t="shared" si="16"/>
        <v>0</v>
      </c>
      <c r="AS15" s="59">
        <f t="shared" si="2"/>
        <v>0</v>
      </c>
      <c r="AU15" s="62">
        <v>4.2225209025803734E-2</v>
      </c>
      <c r="AV15" s="59">
        <v>22.696760746983312</v>
      </c>
      <c r="AW15" s="54"/>
      <c r="AX15" s="60">
        <v>-2.8309104561066611E-2</v>
      </c>
      <c r="AY15" s="59">
        <v>22.071924333171605</v>
      </c>
      <c r="BA15" s="62">
        <v>-3.3541659547785319E-2</v>
      </c>
      <c r="BB15" s="59">
        <v>21.032906684907768</v>
      </c>
      <c r="BC15" s="54"/>
      <c r="BD15" s="60">
        <v>-3.3541659547785319E-2</v>
      </c>
      <c r="BE15" s="59">
        <v>20.350323076585497</v>
      </c>
    </row>
    <row r="16" spans="1:61" hidden="1" outlineLevel="1" x14ac:dyDescent="0.4">
      <c r="C16" s="64" t="s">
        <v>25</v>
      </c>
      <c r="D16" s="65"/>
      <c r="E16" s="63"/>
      <c r="F16" s="66">
        <f>SUM(F8:F15)</f>
        <v>67507.012231684101</v>
      </c>
      <c r="G16" s="54"/>
      <c r="H16" s="67">
        <f t="shared" si="3"/>
        <v>-2.0159464308465713E-2</v>
      </c>
      <c r="I16" s="66">
        <f>SUM(I8:I15)</f>
        <v>66173</v>
      </c>
      <c r="J16" s="54"/>
      <c r="K16" s="67">
        <f t="shared" si="4"/>
        <v>1.1561384378687589E-2</v>
      </c>
      <c r="L16" s="66">
        <f>SUM(L8:L15)</f>
        <v>66947</v>
      </c>
      <c r="M16" s="54"/>
      <c r="N16" s="67">
        <f t="shared" ref="N16" si="17">1-I16/O16</f>
        <v>1.9834104855690593E-2</v>
      </c>
      <c r="O16" s="66">
        <f>SUM(O8:O15)</f>
        <v>67512.040898196501</v>
      </c>
      <c r="P16" s="54"/>
      <c r="Q16" s="67">
        <f t="shared" si="6"/>
        <v>1.4209565319825646E-2</v>
      </c>
      <c r="R16" s="66">
        <f>SUM(R8:R15)</f>
        <v>67912</v>
      </c>
      <c r="S16" s="54"/>
      <c r="T16" s="67">
        <f t="shared" si="7"/>
        <v>8.9989186394822118E-3</v>
      </c>
      <c r="U16" s="66">
        <f>SUM(U8:U15)</f>
        <v>68528.684052257042</v>
      </c>
      <c r="V16" s="54"/>
      <c r="W16" s="67">
        <f t="shared" si="8"/>
        <v>1.5544146812509152E-2</v>
      </c>
      <c r="X16" s="66">
        <f>SUM(X8:X15)</f>
        <v>69610.723355824943</v>
      </c>
      <c r="Y16" s="54"/>
      <c r="Z16" s="67">
        <f t="shared" si="9"/>
        <v>1.5548169416894631E-2</v>
      </c>
      <c r="AA16" s="66">
        <f>SUM(AA8:AA15)</f>
        <v>70710.136538212828</v>
      </c>
      <c r="AB16" s="54"/>
      <c r="AC16" s="67">
        <f t="shared" si="10"/>
        <v>1.8553334893617879E-2</v>
      </c>
      <c r="AD16" s="66">
        <f>SUM(AD8:AD15)</f>
        <v>72046.845796300433</v>
      </c>
      <c r="AE16" s="54"/>
      <c r="AF16" s="67">
        <f t="shared" si="11"/>
        <v>1.8562060581882145E-2</v>
      </c>
      <c r="AG16" s="66">
        <f>SUM(AG8:AG15)</f>
        <v>73409.476954820086</v>
      </c>
      <c r="AI16" s="68">
        <f t="shared" si="0"/>
        <v>-4.0479057337248431E-3</v>
      </c>
      <c r="AJ16" s="66">
        <f>AD16-AV16</f>
        <v>-292.82416481134715</v>
      </c>
      <c r="AK16" s="54"/>
      <c r="AL16" s="67">
        <f t="shared" si="13"/>
        <v>-3.37104511870204E-3</v>
      </c>
      <c r="AM16" s="66">
        <f>AG16-AY16</f>
        <v>-248.30370193738781</v>
      </c>
      <c r="AN16" s="54"/>
      <c r="AO16" s="68">
        <f t="shared" si="15"/>
        <v>-8.8333275551784017E-3</v>
      </c>
      <c r="AP16" s="66">
        <f t="shared" si="1"/>
        <v>-639</v>
      </c>
      <c r="AQ16" s="54"/>
      <c r="AR16" s="68">
        <f t="shared" si="16"/>
        <v>-1.7752367616034662E-2</v>
      </c>
      <c r="AS16" s="66">
        <f t="shared" si="2"/>
        <v>-1307.6000000000058</v>
      </c>
      <c r="AU16" s="68">
        <v>2.2526138476647084E-2</v>
      </c>
      <c r="AV16" s="66">
        <v>72339.66996111178</v>
      </c>
      <c r="AW16" s="54"/>
      <c r="AX16" s="67">
        <v>1.7895063955131074E-2</v>
      </c>
      <c r="AY16" s="66">
        <v>73657.780656757473</v>
      </c>
      <c r="BA16" s="68">
        <v>2.7181485424610186E-2</v>
      </c>
      <c r="BB16" s="66">
        <v>72685.845796300433</v>
      </c>
      <c r="BC16" s="54"/>
      <c r="BD16" s="67">
        <v>2.7185634680916393E-2</v>
      </c>
      <c r="BE16" s="66">
        <v>74717.076954820091</v>
      </c>
    </row>
    <row r="17" spans="2:57" ht="6.95" hidden="1" customHeight="1" outlineLevel="1" x14ac:dyDescent="0.4">
      <c r="C17" s="39"/>
      <c r="D17" s="39"/>
      <c r="E17" s="52"/>
      <c r="F17" s="53"/>
      <c r="G17" s="54"/>
      <c r="H17" s="20"/>
      <c r="I17" s="53"/>
      <c r="J17" s="54"/>
      <c r="K17" s="20"/>
      <c r="L17" s="53"/>
      <c r="M17" s="54"/>
      <c r="N17" s="20"/>
      <c r="O17" s="53"/>
      <c r="P17" s="54"/>
      <c r="Q17" s="20"/>
      <c r="R17" s="53"/>
      <c r="S17" s="54"/>
      <c r="T17" s="20"/>
      <c r="U17" s="53"/>
      <c r="V17" s="54"/>
      <c r="W17" s="20"/>
      <c r="X17" s="53"/>
      <c r="Y17" s="54"/>
      <c r="Z17" s="20"/>
      <c r="AA17" s="53"/>
      <c r="AB17" s="54"/>
      <c r="AC17" s="20"/>
      <c r="AD17" s="53"/>
      <c r="AE17" s="54"/>
      <c r="AF17" s="20"/>
      <c r="AG17" s="53"/>
      <c r="AI17" s="69"/>
      <c r="AJ17" s="53"/>
      <c r="AK17" s="54"/>
      <c r="AL17" s="20"/>
      <c r="AM17" s="53"/>
      <c r="AN17" s="54"/>
      <c r="AO17" s="69"/>
      <c r="AP17" s="53"/>
      <c r="AQ17" s="54"/>
      <c r="AR17" s="69"/>
      <c r="AS17" s="53"/>
      <c r="AU17" s="69"/>
      <c r="AV17" s="53"/>
      <c r="AW17" s="54"/>
      <c r="AX17" s="20"/>
      <c r="AY17" s="53"/>
      <c r="BA17" s="69"/>
      <c r="BB17" s="53"/>
      <c r="BC17" s="54"/>
      <c r="BD17" s="20"/>
      <c r="BE17" s="53"/>
    </row>
    <row r="18" spans="2:57" hidden="1" outlineLevel="1" x14ac:dyDescent="0.4">
      <c r="B18" s="51" t="s">
        <v>26</v>
      </c>
      <c r="E18" s="52"/>
      <c r="F18" s="53"/>
      <c r="G18" s="54"/>
      <c r="I18" s="53"/>
      <c r="J18" s="54"/>
      <c r="L18" s="70">
        <f>L19-I19</f>
        <v>564.91666666667152</v>
      </c>
      <c r="M18" s="54"/>
      <c r="O18" s="53"/>
      <c r="P18" s="54"/>
      <c r="R18" s="70">
        <f>R19-L19</f>
        <v>649.16666666666424</v>
      </c>
      <c r="S18" s="54"/>
      <c r="U18" s="70">
        <f>U19-R19</f>
        <v>774.32740883185761</v>
      </c>
      <c r="V18" s="54"/>
      <c r="W18" s="60">
        <v>1.4999999999999999E-2</v>
      </c>
      <c r="X18" s="70">
        <f>U19*W18</f>
        <v>764.65991113247787</v>
      </c>
      <c r="Y18" s="54"/>
      <c r="Z18" s="60">
        <v>1.4999999999999999E-2</v>
      </c>
      <c r="AA18" s="70">
        <f>(U19+X18)*Z18</f>
        <v>776.12980979946497</v>
      </c>
      <c r="AB18" s="54"/>
      <c r="AC18" s="60">
        <v>1.4999999999999999E-2</v>
      </c>
      <c r="AD18" s="70">
        <f>(U19+X18+AA18)*AC18</f>
        <v>787.771756946457</v>
      </c>
      <c r="AE18" s="54"/>
      <c r="AF18" s="60">
        <v>1.4999999999999999E-2</v>
      </c>
      <c r="AG18" s="70">
        <f>(X18+U19+AA18+AD18)*AF18</f>
        <v>799.58833330065386</v>
      </c>
      <c r="AI18" s="62"/>
      <c r="AJ18" s="70"/>
      <c r="AK18" s="54"/>
      <c r="AL18" s="60"/>
      <c r="AM18" s="70"/>
      <c r="AN18" s="54"/>
      <c r="AO18" s="62"/>
      <c r="AP18" s="70"/>
      <c r="AQ18" s="54"/>
      <c r="AR18" s="62"/>
      <c r="AS18" s="70"/>
      <c r="AU18" s="62">
        <v>1.4999999999999999E-2</v>
      </c>
      <c r="AV18" s="70">
        <v>787.771756946457</v>
      </c>
      <c r="AW18" s="54"/>
      <c r="AX18" s="60">
        <v>1.4999999999999999E-2</v>
      </c>
      <c r="AY18" s="70">
        <v>799.58833330065386</v>
      </c>
      <c r="BA18" s="62">
        <v>1.4999999999999999E-2</v>
      </c>
      <c r="BB18" s="70">
        <v>787.771756946457</v>
      </c>
      <c r="BC18" s="54"/>
      <c r="BD18" s="60">
        <v>1.4999999999999999E-2</v>
      </c>
      <c r="BE18" s="70">
        <v>799.58833330065386</v>
      </c>
    </row>
    <row r="19" spans="2:57" hidden="1" outlineLevel="1" x14ac:dyDescent="0.4">
      <c r="C19" s="56" t="s">
        <v>17</v>
      </c>
      <c r="D19" s="57"/>
      <c r="E19" s="58"/>
      <c r="F19" s="59">
        <v>49919.725406979574</v>
      </c>
      <c r="G19" s="54"/>
      <c r="H19" s="60">
        <f>1-F19/I19</f>
        <v>-1.9000394449348201E-2</v>
      </c>
      <c r="I19" s="59">
        <v>48988.916666666664</v>
      </c>
      <c r="J19" s="54"/>
      <c r="K19" s="60">
        <f>1-I19/L19</f>
        <v>1.1400059867551549E-2</v>
      </c>
      <c r="L19" s="59">
        <v>49553.833333333336</v>
      </c>
      <c r="M19" s="54"/>
      <c r="N19" s="60">
        <f>1-I19/O19</f>
        <v>2.0300042663253692E-2</v>
      </c>
      <c r="O19" s="59">
        <v>50004</v>
      </c>
      <c r="P19" s="54"/>
      <c r="Q19" s="60">
        <f>1-L19/R19</f>
        <v>1.2930834146697712E-2</v>
      </c>
      <c r="R19" s="71">
        <f>ROUND((L8+R8)/2,0)</f>
        <v>50203</v>
      </c>
      <c r="S19" s="72"/>
      <c r="T19" s="60">
        <f>1-R19/U19</f>
        <v>1.5189643086265581E-2</v>
      </c>
      <c r="U19" s="71">
        <v>50977.327408831858</v>
      </c>
      <c r="V19" s="72"/>
      <c r="W19" s="60">
        <f>1-U19/X19</f>
        <v>1.4778540914560989E-2</v>
      </c>
      <c r="X19" s="71">
        <v>51741.998652925271</v>
      </c>
      <c r="Y19" s="72"/>
      <c r="Z19" s="60">
        <f>1-X19/AA19</f>
        <v>1.4778484650575963E-2</v>
      </c>
      <c r="AA19" s="71">
        <v>52518.137136473488</v>
      </c>
      <c r="AB19" s="72"/>
      <c r="AC19" s="60">
        <f>1-AA19/AD19</f>
        <v>1.864547781266479E-2</v>
      </c>
      <c r="AD19" s="71">
        <v>53515.967929119157</v>
      </c>
      <c r="AE19" s="72"/>
      <c r="AF19" s="60">
        <f>1-AD19/AG19</f>
        <v>1.8650166459844186E-2</v>
      </c>
      <c r="AG19" s="71">
        <v>54533.01778843104</v>
      </c>
      <c r="AI19" s="62">
        <f t="shared" ref="AI19:AI27" si="18">AJ19/AV19</f>
        <v>-5.5168437670248304E-3</v>
      </c>
      <c r="AJ19" s="71">
        <f t="shared" ref="AJ19:AJ27" si="19">AD19-AV19</f>
        <v>-296.87705845557502</v>
      </c>
      <c r="AK19" s="72"/>
      <c r="AL19" s="60">
        <f t="shared" ref="AL19:AL27" si="20">AM19/AY19</f>
        <v>-4.5359249654734054E-3</v>
      </c>
      <c r="AM19" s="71">
        <f t="shared" ref="AM19:AM27" si="21">AG19-AY19</f>
        <v>-248.48478516974137</v>
      </c>
      <c r="AN19" s="72"/>
      <c r="AO19" s="62">
        <f t="shared" ref="AO19:AO27" si="22">AP19/AV19</f>
        <v>-1.0735355102176566E-2</v>
      </c>
      <c r="AP19" s="71">
        <f t="shared" ref="AP19:AP27" si="23">AD19-BB19</f>
        <v>-577.69999999999709</v>
      </c>
      <c r="AQ19" s="72"/>
      <c r="AR19" s="62">
        <f t="shared" ref="AR19:AR27" si="24">AS19/AY19</f>
        <v>-2.1604007637613228E-2</v>
      </c>
      <c r="AS19" s="71">
        <f t="shared" ref="AS19:AS27" si="25">AG19-BE19</f>
        <v>-1183.5</v>
      </c>
      <c r="AU19" s="62">
        <v>2.4059457391635619E-2</v>
      </c>
      <c r="AV19" s="71">
        <v>53812.844987574732</v>
      </c>
      <c r="AW19" s="72"/>
      <c r="AX19" s="60">
        <v>1.7682201847687984E-2</v>
      </c>
      <c r="AY19" s="71">
        <v>54781.502573600781</v>
      </c>
      <c r="BA19" s="62">
        <v>2.9125974498718454E-2</v>
      </c>
      <c r="BB19" s="71">
        <v>54093.667929119154</v>
      </c>
      <c r="BC19" s="72"/>
      <c r="BD19" s="60">
        <v>2.9126907490418463E-2</v>
      </c>
      <c r="BE19" s="71">
        <v>55716.51778843104</v>
      </c>
    </row>
    <row r="20" spans="2:57" hidden="1" outlineLevel="1" x14ac:dyDescent="0.4">
      <c r="C20" s="56" t="s">
        <v>18</v>
      </c>
      <c r="D20" s="57"/>
      <c r="E20" s="58"/>
      <c r="F20" s="59">
        <v>3961</v>
      </c>
      <c r="G20" s="54"/>
      <c r="H20" s="60">
        <f t="shared" ref="H20:H27" si="26">1-F20/I20</f>
        <v>-2.6719948158548501E-2</v>
      </c>
      <c r="I20" s="59">
        <v>3857.9166666666665</v>
      </c>
      <c r="J20" s="54"/>
      <c r="K20" s="60">
        <f t="shared" ref="K20:K27" si="27">1-I20/L20</f>
        <v>1.3446703320121101E-2</v>
      </c>
      <c r="L20" s="59">
        <v>3910.5</v>
      </c>
      <c r="M20" s="54"/>
      <c r="N20" s="60">
        <f t="shared" ref="N20:N25" si="28">1-I20/O20</f>
        <v>1.6840808698606935E-2</v>
      </c>
      <c r="O20" s="59">
        <v>3924</v>
      </c>
      <c r="P20" s="54"/>
      <c r="Q20" s="60">
        <f t="shared" ref="Q20:Q27" si="29">1-L20/R20</f>
        <v>1.0751328105236491E-2</v>
      </c>
      <c r="R20" s="71">
        <f t="shared" ref="R20:R26" si="30">ROUND((L9+R9)/2,0)</f>
        <v>3953</v>
      </c>
      <c r="S20" s="72"/>
      <c r="T20" s="60">
        <f t="shared" ref="T20:T27" si="31">1-R20/U20</f>
        <v>1.2359448192106881E-2</v>
      </c>
      <c r="U20" s="71">
        <v>4002.4682995893245</v>
      </c>
      <c r="V20" s="72"/>
      <c r="W20" s="60">
        <f t="shared" ref="W20:W27" si="32">1-U20/X20</f>
        <v>1.4775352164499989E-2</v>
      </c>
      <c r="X20" s="71">
        <v>4062.4930652948956</v>
      </c>
      <c r="Y20" s="72"/>
      <c r="Z20" s="60">
        <f t="shared" ref="Z20:Z27" si="33">1-X20/AA20</f>
        <v>1.4765140720004233E-2</v>
      </c>
      <c r="AA20" s="71">
        <v>4123.3752815686439</v>
      </c>
      <c r="AB20" s="72"/>
      <c r="AC20" s="60">
        <f t="shared" ref="AC20:AC27" si="34">1-AA20/AD20</f>
        <v>1.8714983148178543E-2</v>
      </c>
      <c r="AD20" s="71">
        <v>4202.0159390564631</v>
      </c>
      <c r="AE20" s="72"/>
      <c r="AF20" s="60">
        <f t="shared" ref="AF20:AF27" si="35">1-AD20/AG20</f>
        <v>1.8682810838073216E-2</v>
      </c>
      <c r="AG20" s="71">
        <v>4282.0160346371858</v>
      </c>
      <c r="AI20" s="62">
        <f t="shared" si="18"/>
        <v>-4.5328190680649404E-3</v>
      </c>
      <c r="AJ20" s="71">
        <f t="shared" si="19"/>
        <v>-19.133707607554243</v>
      </c>
      <c r="AK20" s="72"/>
      <c r="AL20" s="60">
        <f t="shared" si="20"/>
        <v>-3.512720764280176E-3</v>
      </c>
      <c r="AM20" s="71">
        <f t="shared" si="21"/>
        <v>-15.094549575572273</v>
      </c>
      <c r="AN20" s="72"/>
      <c r="AO20" s="62">
        <f t="shared" si="22"/>
        <v>-1.0684293089595386E-2</v>
      </c>
      <c r="AP20" s="71">
        <f t="shared" si="23"/>
        <v>-45.100000000000364</v>
      </c>
      <c r="AQ20" s="72"/>
      <c r="AR20" s="62">
        <f t="shared" si="24"/>
        <v>-2.1526092518967893E-2</v>
      </c>
      <c r="AS20" s="71">
        <f t="shared" si="25"/>
        <v>-92.5</v>
      </c>
      <c r="AU20" s="62">
        <v>2.3162970583770925E-2</v>
      </c>
      <c r="AV20" s="71">
        <v>4221.1496466640174</v>
      </c>
      <c r="AW20" s="72"/>
      <c r="AX20" s="60">
        <v>1.7677212643262052E-2</v>
      </c>
      <c r="AY20" s="71">
        <v>4297.1105842127581</v>
      </c>
      <c r="BA20" s="62">
        <v>2.913522005601521E-2</v>
      </c>
      <c r="BB20" s="71">
        <v>4247.1159390564635</v>
      </c>
      <c r="BC20" s="72"/>
      <c r="BD20" s="60">
        <v>2.9123243479272976E-2</v>
      </c>
      <c r="BE20" s="71">
        <v>4374.5160346371858</v>
      </c>
    </row>
    <row r="21" spans="2:57" hidden="1" outlineLevel="1" x14ac:dyDescent="0.4">
      <c r="C21" s="56" t="s">
        <v>19</v>
      </c>
      <c r="D21" s="57"/>
      <c r="E21" s="58"/>
      <c r="F21" s="59">
        <v>518</v>
      </c>
      <c r="G21" s="54"/>
      <c r="H21" s="60">
        <f t="shared" si="26"/>
        <v>-2.9821073558648159E-2</v>
      </c>
      <c r="I21" s="59">
        <f>380.833333333333+122.166666666667</f>
        <v>503</v>
      </c>
      <c r="J21" s="54"/>
      <c r="K21" s="60">
        <f t="shared" si="27"/>
        <v>-8.0160320641282645E-3</v>
      </c>
      <c r="L21" s="59">
        <f>374+125</f>
        <v>499</v>
      </c>
      <c r="M21" s="54"/>
      <c r="N21" s="60">
        <f t="shared" si="28"/>
        <v>-6.0000000000000053E-3</v>
      </c>
      <c r="O21" s="59">
        <v>500</v>
      </c>
      <c r="P21" s="54"/>
      <c r="Q21" s="60">
        <f t="shared" si="29"/>
        <v>7.9522862823061535E-3</v>
      </c>
      <c r="R21" s="71">
        <f t="shared" si="30"/>
        <v>503</v>
      </c>
      <c r="S21" s="72"/>
      <c r="T21" s="60">
        <f t="shared" si="31"/>
        <v>7.8895463510848529E-3</v>
      </c>
      <c r="U21" s="71">
        <v>507</v>
      </c>
      <c r="V21" s="72"/>
      <c r="W21" s="60">
        <f t="shared" si="32"/>
        <v>1.4768752429071164E-2</v>
      </c>
      <c r="X21" s="71">
        <v>514.6</v>
      </c>
      <c r="Y21" s="72"/>
      <c r="Z21" s="60">
        <f t="shared" si="33"/>
        <v>1.4742485161784336E-2</v>
      </c>
      <c r="AA21" s="71">
        <v>522.29999999999995</v>
      </c>
      <c r="AB21" s="72"/>
      <c r="AC21" s="60">
        <f t="shared" si="34"/>
        <v>1.8233082706767045E-2</v>
      </c>
      <c r="AD21" s="71">
        <v>532</v>
      </c>
      <c r="AE21" s="72"/>
      <c r="AF21" s="60">
        <f t="shared" si="35"/>
        <v>1.8450184501844991E-2</v>
      </c>
      <c r="AG21" s="71">
        <v>542</v>
      </c>
      <c r="AI21" s="62">
        <f t="shared" si="18"/>
        <v>1.1791555724610206E-2</v>
      </c>
      <c r="AJ21" s="71">
        <f t="shared" si="19"/>
        <v>6.2000000000000455</v>
      </c>
      <c r="AK21" s="72"/>
      <c r="AL21" s="60">
        <f t="shared" si="20"/>
        <v>1.2516345974220149E-2</v>
      </c>
      <c r="AM21" s="71">
        <f t="shared" si="21"/>
        <v>6.7000000000000455</v>
      </c>
      <c r="AN21" s="72"/>
      <c r="AO21" s="62">
        <f t="shared" si="22"/>
        <v>-1.1411182959300116E-2</v>
      </c>
      <c r="AP21" s="71">
        <f t="shared" si="23"/>
        <v>-6</v>
      </c>
      <c r="AQ21" s="72"/>
      <c r="AR21" s="62">
        <f t="shared" si="24"/>
        <v>-2.2604147207173592E-2</v>
      </c>
      <c r="AS21" s="71">
        <f t="shared" si="25"/>
        <v>-12.100000000000023</v>
      </c>
      <c r="AU21" s="62">
        <v>6.6565233929251066E-3</v>
      </c>
      <c r="AV21" s="71">
        <v>525.79999999999995</v>
      </c>
      <c r="AW21" s="72"/>
      <c r="AX21" s="60">
        <v>1.7747057724640358E-2</v>
      </c>
      <c r="AY21" s="71">
        <v>535.29999999999995</v>
      </c>
      <c r="BA21" s="62">
        <v>2.9182156133829129E-2</v>
      </c>
      <c r="BB21" s="71">
        <v>538</v>
      </c>
      <c r="BC21" s="72"/>
      <c r="BD21" s="60">
        <v>2.9056127052878633E-2</v>
      </c>
      <c r="BE21" s="71">
        <v>554.1</v>
      </c>
    </row>
    <row r="22" spans="2:57" hidden="1" outlineLevel="1" x14ac:dyDescent="0.4">
      <c r="C22" s="56" t="s">
        <v>20</v>
      </c>
      <c r="D22" s="57"/>
      <c r="E22" s="58"/>
      <c r="F22" s="59">
        <v>10</v>
      </c>
      <c r="G22" s="54"/>
      <c r="H22" s="60">
        <f t="shared" si="26"/>
        <v>2.4390243902439046E-2</v>
      </c>
      <c r="I22" s="59">
        <v>10.25</v>
      </c>
      <c r="J22" s="54"/>
      <c r="K22" s="60">
        <f t="shared" si="27"/>
        <v>6.8181818181818232E-2</v>
      </c>
      <c r="L22" s="59">
        <v>11</v>
      </c>
      <c r="M22" s="54"/>
      <c r="N22" s="60">
        <f t="shared" si="28"/>
        <v>6.8181818181818232E-2</v>
      </c>
      <c r="O22" s="59">
        <v>11</v>
      </c>
      <c r="P22" s="54"/>
      <c r="Q22" s="60">
        <f t="shared" si="29"/>
        <v>0</v>
      </c>
      <c r="R22" s="71">
        <f t="shared" si="30"/>
        <v>11</v>
      </c>
      <c r="S22" s="72"/>
      <c r="T22" s="60">
        <f t="shared" si="31"/>
        <v>8.333333333333337E-2</v>
      </c>
      <c r="U22" s="71">
        <v>12</v>
      </c>
      <c r="V22" s="72"/>
      <c r="W22" s="60">
        <f t="shared" si="32"/>
        <v>0</v>
      </c>
      <c r="X22" s="71">
        <v>12</v>
      </c>
      <c r="Y22" s="72"/>
      <c r="Z22" s="60">
        <f t="shared" si="33"/>
        <v>0</v>
      </c>
      <c r="AA22" s="71">
        <v>12</v>
      </c>
      <c r="AB22" s="72"/>
      <c r="AC22" s="60">
        <f t="shared" si="34"/>
        <v>0</v>
      </c>
      <c r="AD22" s="71">
        <v>12</v>
      </c>
      <c r="AE22" s="72"/>
      <c r="AF22" s="60">
        <f t="shared" si="35"/>
        <v>0</v>
      </c>
      <c r="AG22" s="71">
        <v>12</v>
      </c>
      <c r="AI22" s="62">
        <f t="shared" si="18"/>
        <v>-9.0909090909090856E-2</v>
      </c>
      <c r="AJ22" s="71">
        <f t="shared" si="19"/>
        <v>-1.1999999999999993</v>
      </c>
      <c r="AK22" s="72"/>
      <c r="AL22" s="60">
        <f t="shared" si="20"/>
        <v>-0.15492957746478869</v>
      </c>
      <c r="AM22" s="71">
        <f t="shared" si="21"/>
        <v>-2.1999999999999993</v>
      </c>
      <c r="AN22" s="72"/>
      <c r="AO22" s="62">
        <f t="shared" si="22"/>
        <v>-7.575757575757576E-2</v>
      </c>
      <c r="AP22" s="71">
        <f t="shared" si="23"/>
        <v>-1</v>
      </c>
      <c r="AQ22" s="72"/>
      <c r="AR22" s="62">
        <f t="shared" si="24"/>
        <v>-7.0422535211267609E-2</v>
      </c>
      <c r="AS22" s="71">
        <f t="shared" si="25"/>
        <v>-1</v>
      </c>
      <c r="AU22" s="62">
        <v>9.0909090909090828E-2</v>
      </c>
      <c r="AV22" s="71">
        <v>13.2</v>
      </c>
      <c r="AW22" s="72"/>
      <c r="AX22" s="60">
        <v>7.0422535211267623E-2</v>
      </c>
      <c r="AY22" s="71">
        <v>14.2</v>
      </c>
      <c r="BA22" s="62">
        <v>7.6923076923076872E-2</v>
      </c>
      <c r="BB22" s="71">
        <v>13</v>
      </c>
      <c r="BC22" s="72"/>
      <c r="BD22" s="60">
        <v>0</v>
      </c>
      <c r="BE22" s="71">
        <v>13</v>
      </c>
    </row>
    <row r="23" spans="2:57" hidden="1" outlineLevel="1" x14ac:dyDescent="0.4">
      <c r="C23" s="56" t="s">
        <v>21</v>
      </c>
      <c r="D23" s="57"/>
      <c r="E23" s="58"/>
      <c r="F23" s="59">
        <v>1</v>
      </c>
      <c r="G23" s="54"/>
      <c r="H23" s="60">
        <f t="shared" si="26"/>
        <v>0</v>
      </c>
      <c r="I23" s="59">
        <v>1</v>
      </c>
      <c r="J23" s="54"/>
      <c r="K23" s="60">
        <f t="shared" si="27"/>
        <v>0</v>
      </c>
      <c r="L23" s="59">
        <v>1</v>
      </c>
      <c r="M23" s="54"/>
      <c r="N23" s="60">
        <f t="shared" si="28"/>
        <v>0</v>
      </c>
      <c r="O23" s="59">
        <v>1</v>
      </c>
      <c r="P23" s="54"/>
      <c r="Q23" s="60">
        <f t="shared" si="29"/>
        <v>0</v>
      </c>
      <c r="R23" s="71">
        <f t="shared" si="30"/>
        <v>1</v>
      </c>
      <c r="S23" s="72"/>
      <c r="T23" s="60">
        <f t="shared" si="31"/>
        <v>0</v>
      </c>
      <c r="U23" s="71">
        <v>1</v>
      </c>
      <c r="V23" s="72"/>
      <c r="W23" s="60">
        <f t="shared" si="32"/>
        <v>0</v>
      </c>
      <c r="X23" s="71">
        <v>1</v>
      </c>
      <c r="Y23" s="72"/>
      <c r="Z23" s="60">
        <f t="shared" si="33"/>
        <v>0</v>
      </c>
      <c r="AA23" s="71">
        <v>1</v>
      </c>
      <c r="AB23" s="72"/>
      <c r="AC23" s="60">
        <f t="shared" si="34"/>
        <v>0</v>
      </c>
      <c r="AD23" s="71">
        <v>1</v>
      </c>
      <c r="AE23" s="72"/>
      <c r="AF23" s="60">
        <f t="shared" si="35"/>
        <v>0</v>
      </c>
      <c r="AG23" s="71">
        <v>1</v>
      </c>
      <c r="AI23" s="62">
        <f t="shared" si="18"/>
        <v>0</v>
      </c>
      <c r="AJ23" s="71">
        <f t="shared" si="19"/>
        <v>0</v>
      </c>
      <c r="AK23" s="72"/>
      <c r="AL23" s="60">
        <f t="shared" si="20"/>
        <v>0</v>
      </c>
      <c r="AM23" s="71">
        <f t="shared" si="21"/>
        <v>0</v>
      </c>
      <c r="AN23" s="72"/>
      <c r="AO23" s="62">
        <f t="shared" si="22"/>
        <v>0</v>
      </c>
      <c r="AP23" s="71">
        <f t="shared" si="23"/>
        <v>0</v>
      </c>
      <c r="AQ23" s="72"/>
      <c r="AR23" s="62">
        <f t="shared" si="24"/>
        <v>0</v>
      </c>
      <c r="AS23" s="71">
        <f t="shared" si="25"/>
        <v>0</v>
      </c>
      <c r="AU23" s="62">
        <v>0</v>
      </c>
      <c r="AV23" s="71">
        <v>1</v>
      </c>
      <c r="AW23" s="72"/>
      <c r="AX23" s="60">
        <v>0</v>
      </c>
      <c r="AY23" s="71">
        <v>1</v>
      </c>
      <c r="BA23" s="62">
        <v>0</v>
      </c>
      <c r="BB23" s="71">
        <v>1</v>
      </c>
      <c r="BC23" s="72"/>
      <c r="BD23" s="60">
        <v>0</v>
      </c>
      <c r="BE23" s="71">
        <v>1</v>
      </c>
    </row>
    <row r="24" spans="2:57" hidden="1" outlineLevel="1" x14ac:dyDescent="0.4">
      <c r="C24" s="56" t="s">
        <v>22</v>
      </c>
      <c r="D24" s="57"/>
      <c r="E24" s="58"/>
      <c r="F24" s="59">
        <v>12761.899782618997</v>
      </c>
      <c r="G24" s="54"/>
      <c r="H24" s="60">
        <f t="shared" si="26"/>
        <v>-4.4195780687626307E-2</v>
      </c>
      <c r="I24" s="59">
        <v>12221.75</v>
      </c>
      <c r="J24" s="54"/>
      <c r="K24" s="60">
        <f t="shared" si="27"/>
        <v>8.6185918234912284E-3</v>
      </c>
      <c r="L24" s="59">
        <v>12328</v>
      </c>
      <c r="M24" s="54"/>
      <c r="N24" s="60">
        <f t="shared" si="28"/>
        <v>2.0928462709284612E-2</v>
      </c>
      <c r="O24" s="59">
        <v>12483</v>
      </c>
      <c r="P24" s="54"/>
      <c r="Q24" s="60">
        <f t="shared" si="29"/>
        <v>1.099077416766947E-2</v>
      </c>
      <c r="R24" s="71">
        <f t="shared" si="30"/>
        <v>12465</v>
      </c>
      <c r="S24" s="72"/>
      <c r="T24" s="60">
        <f t="shared" si="31"/>
        <v>1.9264351885394104E-2</v>
      </c>
      <c r="U24" s="71">
        <v>12709.846964330369</v>
      </c>
      <c r="V24" s="72"/>
      <c r="W24" s="60">
        <f t="shared" si="32"/>
        <v>1.9303691462133621E-2</v>
      </c>
      <c r="X24" s="71">
        <v>12960.023254578835</v>
      </c>
      <c r="Y24" s="72"/>
      <c r="Z24" s="60">
        <f t="shared" si="33"/>
        <v>1.9303691462133732E-2</v>
      </c>
      <c r="AA24" s="71">
        <v>13215.123929548703</v>
      </c>
      <c r="AB24" s="72"/>
      <c r="AC24" s="60">
        <f t="shared" si="34"/>
        <v>1.8633679931449709E-2</v>
      </c>
      <c r="AD24" s="71">
        <v>13466.045919148317</v>
      </c>
      <c r="AE24" s="72"/>
      <c r="AF24" s="60">
        <f t="shared" si="35"/>
        <v>1.8651972362244362E-2</v>
      </c>
      <c r="AG24" s="71">
        <v>13721.988061221264</v>
      </c>
      <c r="AI24" s="62">
        <f t="shared" si="18"/>
        <v>-4.581913299413732E-4</v>
      </c>
      <c r="AJ24" s="71">
        <f t="shared" si="19"/>
        <v>-6.1728538368552108</v>
      </c>
      <c r="AK24" s="72"/>
      <c r="AL24" s="60">
        <f t="shared" si="20"/>
        <v>-1.1070317084046883E-3</v>
      </c>
      <c r="AM24" s="71">
        <f t="shared" si="21"/>
        <v>-15.207511083097415</v>
      </c>
      <c r="AN24" s="72"/>
      <c r="AO24" s="62">
        <f t="shared" si="22"/>
        <v>-6.828867727748599E-4</v>
      </c>
      <c r="AP24" s="71">
        <f t="shared" si="23"/>
        <v>-9.2000000000007276</v>
      </c>
      <c r="AQ24" s="72"/>
      <c r="AR24" s="62">
        <f t="shared" si="24"/>
        <v>-1.3467086424319354E-3</v>
      </c>
      <c r="AS24" s="71">
        <f t="shared" si="25"/>
        <v>-18.5</v>
      </c>
      <c r="AU24" s="62">
        <v>1.90833334708016E-2</v>
      </c>
      <c r="AV24" s="71">
        <v>13472.218772985172</v>
      </c>
      <c r="AW24" s="72"/>
      <c r="AX24" s="60">
        <v>1.9289002469573213E-2</v>
      </c>
      <c r="AY24" s="71">
        <v>13737.195572304361</v>
      </c>
      <c r="BA24" s="62">
        <v>1.9303691462133621E-2</v>
      </c>
      <c r="BB24" s="71">
        <v>13475.245919148318</v>
      </c>
      <c r="BC24" s="72"/>
      <c r="BD24" s="60">
        <v>1.9303691462133621E-2</v>
      </c>
      <c r="BE24" s="71">
        <v>13740.488061221264</v>
      </c>
    </row>
    <row r="25" spans="2:57" hidden="1" outlineLevel="1" x14ac:dyDescent="0.4">
      <c r="C25" s="56" t="s">
        <v>23</v>
      </c>
      <c r="D25" s="57"/>
      <c r="E25" s="63"/>
      <c r="F25" s="59">
        <v>313.0793844964528</v>
      </c>
      <c r="G25" s="54"/>
      <c r="H25" s="60">
        <f t="shared" si="26"/>
        <v>-5.4139341738898228E-2</v>
      </c>
      <c r="I25" s="59">
        <v>297</v>
      </c>
      <c r="J25" s="54"/>
      <c r="K25" s="60">
        <f t="shared" si="27"/>
        <v>-6.7796610169490457E-3</v>
      </c>
      <c r="L25" s="59">
        <v>295</v>
      </c>
      <c r="M25" s="54"/>
      <c r="N25" s="60">
        <f t="shared" si="28"/>
        <v>-6.7796610169490457E-3</v>
      </c>
      <c r="O25" s="59">
        <v>295</v>
      </c>
      <c r="P25" s="54"/>
      <c r="Q25" s="60">
        <f t="shared" si="29"/>
        <v>3.3783783783783994E-3</v>
      </c>
      <c r="R25" s="71">
        <f t="shared" si="30"/>
        <v>296</v>
      </c>
      <c r="S25" s="72"/>
      <c r="T25" s="60">
        <f t="shared" si="31"/>
        <v>-6.0761704077383349E-4</v>
      </c>
      <c r="U25" s="71">
        <v>295.82025457231583</v>
      </c>
      <c r="V25" s="72"/>
      <c r="W25" s="60">
        <f t="shared" si="32"/>
        <v>1.0825985285517481E-3</v>
      </c>
      <c r="X25" s="71">
        <v>296.14085622751179</v>
      </c>
      <c r="Y25" s="72"/>
      <c r="Z25" s="60">
        <f t="shared" si="33"/>
        <v>1.0825985285518591E-3</v>
      </c>
      <c r="AA25" s="71">
        <v>296.46180534174658</v>
      </c>
      <c r="AB25" s="72"/>
      <c r="AC25" s="60">
        <f t="shared" si="34"/>
        <v>1.0825985285517481E-3</v>
      </c>
      <c r="AD25" s="71">
        <v>296.78310229158649</v>
      </c>
      <c r="AE25" s="72"/>
      <c r="AF25" s="60">
        <f t="shared" si="35"/>
        <v>1.0825985285518591E-3</v>
      </c>
      <c r="AG25" s="71">
        <v>297.10474745400597</v>
      </c>
      <c r="AI25" s="62">
        <f t="shared" si="18"/>
        <v>9.6112162181988661E-2</v>
      </c>
      <c r="AJ25" s="71">
        <f t="shared" si="19"/>
        <v>26.023309150716955</v>
      </c>
      <c r="AK25" s="72"/>
      <c r="AL25" s="60">
        <f t="shared" si="20"/>
        <v>0.10283869677214853</v>
      </c>
      <c r="AM25" s="71">
        <f t="shared" si="21"/>
        <v>27.704745147604172</v>
      </c>
      <c r="AN25" s="72"/>
      <c r="AO25" s="62">
        <f t="shared" si="22"/>
        <v>0</v>
      </c>
      <c r="AP25" s="71">
        <f t="shared" si="23"/>
        <v>0</v>
      </c>
      <c r="AQ25" s="72"/>
      <c r="AR25" s="62">
        <f t="shared" si="24"/>
        <v>0</v>
      </c>
      <c r="AS25" s="71">
        <f t="shared" si="25"/>
        <v>0</v>
      </c>
      <c r="AU25" s="62">
        <v>-9.4925512768082809E-2</v>
      </c>
      <c r="AV25" s="71">
        <v>270.75979314086953</v>
      </c>
      <c r="AW25" s="72"/>
      <c r="AX25" s="60">
        <v>-5.0474789266006237E-3</v>
      </c>
      <c r="AY25" s="71">
        <v>269.4000023064018</v>
      </c>
      <c r="BA25" s="62">
        <v>1.0825985285517481E-3</v>
      </c>
      <c r="BB25" s="71">
        <v>296.78310229158649</v>
      </c>
      <c r="BC25" s="72"/>
      <c r="BD25" s="60">
        <v>1.0825985285518591E-3</v>
      </c>
      <c r="BE25" s="71">
        <v>297.10474745400597</v>
      </c>
    </row>
    <row r="26" spans="2:57" hidden="1" outlineLevel="1" x14ac:dyDescent="0.4">
      <c r="C26" s="56" t="s">
        <v>24</v>
      </c>
      <c r="D26" s="57"/>
      <c r="E26" s="58"/>
      <c r="F26" s="59">
        <v>22.307657589073369</v>
      </c>
      <c r="G26" s="54"/>
      <c r="H26" s="60">
        <f>IFERROR(1-F26/I26,0)</f>
        <v>0</v>
      </c>
      <c r="I26" s="59"/>
      <c r="J26" s="54"/>
      <c r="K26" s="60">
        <f>IFERROR(1-I26/L26,0)</f>
        <v>0</v>
      </c>
      <c r="L26" s="59"/>
      <c r="M26" s="54"/>
      <c r="N26" s="60">
        <f>IFERROR(1-I26/O26,0)</f>
        <v>1</v>
      </c>
      <c r="O26" s="59">
        <v>12</v>
      </c>
      <c r="P26" s="54"/>
      <c r="Q26" s="60">
        <f>IFERROR(1-L26/R26,0)</f>
        <v>0</v>
      </c>
      <c r="R26" s="71">
        <f t="shared" si="30"/>
        <v>0</v>
      </c>
      <c r="S26" s="72"/>
      <c r="T26" s="60">
        <f>IFERROR(1-R26/U26,0)</f>
        <v>1</v>
      </c>
      <c r="U26" s="71">
        <v>23.221124933174856</v>
      </c>
      <c r="V26" s="72"/>
      <c r="W26" s="60">
        <f>IFERROR(1-U26/X26,0)</f>
        <v>-3.3541659547785319E-2</v>
      </c>
      <c r="X26" s="71">
        <v>22.46752679842146</v>
      </c>
      <c r="Y26" s="72"/>
      <c r="Z26" s="60">
        <f>IFERROR(1-X26/AA26,0)</f>
        <v>-3.3541659547785541E-2</v>
      </c>
      <c r="AA26" s="71">
        <v>21.738385280233285</v>
      </c>
      <c r="AB26" s="72"/>
      <c r="AC26" s="60">
        <f>IFERROR(1-AA26/AD26,0)</f>
        <v>-3.3541659547785319E-2</v>
      </c>
      <c r="AD26" s="71">
        <v>21.032906684907768</v>
      </c>
      <c r="AE26" s="72"/>
      <c r="AF26" s="60">
        <f>IFERROR(1-AD26/AG26,0)</f>
        <v>-3.3541659547785319E-2</v>
      </c>
      <c r="AG26" s="71">
        <v>20.350323076585497</v>
      </c>
      <c r="AI26" s="62">
        <f t="shared" si="18"/>
        <v>-7.330799670594805E-2</v>
      </c>
      <c r="AJ26" s="71">
        <f t="shared" si="19"/>
        <v>-1.6638540620755435</v>
      </c>
      <c r="AK26" s="72"/>
      <c r="AL26" s="60">
        <f t="shared" si="20"/>
        <v>-7.7999599427709912E-2</v>
      </c>
      <c r="AM26" s="71">
        <f t="shared" si="21"/>
        <v>-1.7216012565861085</v>
      </c>
      <c r="AN26" s="72"/>
      <c r="AO26" s="62">
        <f t="shared" si="22"/>
        <v>0</v>
      </c>
      <c r="AP26" s="71">
        <f t="shared" si="23"/>
        <v>0</v>
      </c>
      <c r="AQ26" s="72"/>
      <c r="AR26" s="62">
        <f t="shared" si="24"/>
        <v>0</v>
      </c>
      <c r="AS26" s="71">
        <f t="shared" si="25"/>
        <v>0</v>
      </c>
      <c r="AU26" s="62">
        <v>4.2225209025803734E-2</v>
      </c>
      <c r="AV26" s="71">
        <v>22.696760746983312</v>
      </c>
      <c r="AW26" s="72"/>
      <c r="AX26" s="60">
        <v>-2.8309104561066611E-2</v>
      </c>
      <c r="AY26" s="71">
        <v>22.071924333171605</v>
      </c>
      <c r="BA26" s="62">
        <v>-3.3541659547785319E-2</v>
      </c>
      <c r="BB26" s="71">
        <v>21.032906684907768</v>
      </c>
      <c r="BC26" s="72"/>
      <c r="BD26" s="60">
        <v>-3.3541659547785319E-2</v>
      </c>
      <c r="BE26" s="71">
        <v>20.350323076585497</v>
      </c>
    </row>
    <row r="27" spans="2:57" hidden="1" outlineLevel="1" x14ac:dyDescent="0.4">
      <c r="C27" s="64" t="s">
        <v>25</v>
      </c>
      <c r="D27" s="65"/>
      <c r="E27" s="63"/>
      <c r="F27" s="66">
        <f>SUM(F19:F26)</f>
        <v>67507.012231684101</v>
      </c>
      <c r="G27" s="54"/>
      <c r="H27" s="67">
        <f t="shared" si="26"/>
        <v>-2.4699195732899026E-2</v>
      </c>
      <c r="I27" s="66">
        <f>SUM(I19:I26)</f>
        <v>65879.833333333328</v>
      </c>
      <c r="J27" s="54"/>
      <c r="K27" s="67">
        <f t="shared" si="27"/>
        <v>1.0788558272229243E-2</v>
      </c>
      <c r="L27" s="66">
        <f>SUM(L19:L26)</f>
        <v>66598.333333333343</v>
      </c>
      <c r="M27" s="54"/>
      <c r="N27" s="67">
        <f t="shared" ref="N27" si="36">1-I27/O27</f>
        <v>2.0082800337151152E-2</v>
      </c>
      <c r="O27" s="66">
        <f>SUM(O19:O26)</f>
        <v>67230</v>
      </c>
      <c r="P27" s="54"/>
      <c r="Q27" s="67">
        <f t="shared" si="29"/>
        <v>1.236307193419528E-2</v>
      </c>
      <c r="R27" s="66">
        <f>SUM(R19:R26)</f>
        <v>67432</v>
      </c>
      <c r="S27" s="54"/>
      <c r="T27" s="67">
        <f t="shared" si="31"/>
        <v>1.6003284864200218E-2</v>
      </c>
      <c r="U27" s="66">
        <f>SUM(U19:U26)</f>
        <v>68528.684052257042</v>
      </c>
      <c r="V27" s="54"/>
      <c r="W27" s="67">
        <f t="shared" si="32"/>
        <v>1.5544146812509152E-2</v>
      </c>
      <c r="X27" s="66">
        <f>SUM(X19:X26)</f>
        <v>69610.723355824943</v>
      </c>
      <c r="Y27" s="54"/>
      <c r="Z27" s="67">
        <f t="shared" si="33"/>
        <v>1.5548169416894631E-2</v>
      </c>
      <c r="AA27" s="66">
        <f>SUM(AA19:AA26)</f>
        <v>70710.136538212828</v>
      </c>
      <c r="AB27" s="54"/>
      <c r="AC27" s="67">
        <f t="shared" si="34"/>
        <v>1.8553334893617879E-2</v>
      </c>
      <c r="AD27" s="66">
        <f>SUM(AD19:AD26)</f>
        <v>72046.845796300433</v>
      </c>
      <c r="AE27" s="54"/>
      <c r="AF27" s="67">
        <f t="shared" si="35"/>
        <v>1.8562060581882145E-2</v>
      </c>
      <c r="AG27" s="66">
        <f>SUM(AG19:AG26)</f>
        <v>73409.476954820086</v>
      </c>
      <c r="AI27" s="68">
        <f t="shared" si="18"/>
        <v>-4.0479057337248431E-3</v>
      </c>
      <c r="AJ27" s="66">
        <f t="shared" si="19"/>
        <v>-292.82416481134715</v>
      </c>
      <c r="AK27" s="54"/>
      <c r="AL27" s="67">
        <f t="shared" si="20"/>
        <v>-3.37104511870204E-3</v>
      </c>
      <c r="AM27" s="66">
        <f t="shared" si="21"/>
        <v>-248.30370193738781</v>
      </c>
      <c r="AN27" s="54"/>
      <c r="AO27" s="68">
        <f t="shared" si="22"/>
        <v>-8.8333275551784017E-3</v>
      </c>
      <c r="AP27" s="66">
        <f t="shared" si="23"/>
        <v>-639</v>
      </c>
      <c r="AQ27" s="54"/>
      <c r="AR27" s="68">
        <f t="shared" si="24"/>
        <v>-1.7752367616034662E-2</v>
      </c>
      <c r="AS27" s="66">
        <f t="shared" si="25"/>
        <v>-1307.6000000000058</v>
      </c>
      <c r="AU27" s="68">
        <v>2.2526138476647084E-2</v>
      </c>
      <c r="AV27" s="66">
        <v>72339.66996111178</v>
      </c>
      <c r="AW27" s="54"/>
      <c r="AX27" s="67">
        <v>1.7895063955131074E-2</v>
      </c>
      <c r="AY27" s="66">
        <v>73657.780656757473</v>
      </c>
      <c r="BA27" s="68">
        <v>2.7181485424610186E-2</v>
      </c>
      <c r="BB27" s="66">
        <v>72685.845796300433</v>
      </c>
      <c r="BC27" s="54"/>
      <c r="BD27" s="67">
        <v>2.7185634680916393E-2</v>
      </c>
      <c r="BE27" s="66">
        <v>74717.076954820091</v>
      </c>
    </row>
    <row r="28" spans="2:57" ht="6.95" hidden="1" customHeight="1" outlineLevel="1" x14ac:dyDescent="0.4">
      <c r="C28" s="39"/>
      <c r="D28" s="39"/>
      <c r="E28" s="52"/>
      <c r="F28" s="53"/>
      <c r="G28" s="54"/>
      <c r="H28" s="20"/>
      <c r="I28" s="53"/>
      <c r="J28" s="54"/>
      <c r="K28" s="20"/>
      <c r="L28" s="53"/>
      <c r="M28" s="54"/>
      <c r="N28" s="20"/>
      <c r="O28" s="53"/>
      <c r="P28" s="54"/>
      <c r="Q28" s="20"/>
      <c r="R28" s="53"/>
      <c r="S28" s="54"/>
      <c r="T28" s="20"/>
      <c r="U28" s="53"/>
      <c r="V28" s="54"/>
      <c r="W28" s="20"/>
      <c r="X28" s="53"/>
      <c r="Y28" s="54"/>
      <c r="Z28" s="20"/>
      <c r="AA28" s="53"/>
      <c r="AB28" s="54"/>
      <c r="AC28" s="20"/>
      <c r="AD28" s="53"/>
      <c r="AE28" s="54"/>
      <c r="AF28" s="20"/>
      <c r="AG28" s="53"/>
      <c r="AI28" s="69"/>
      <c r="AJ28" s="53"/>
      <c r="AK28" s="54"/>
      <c r="AL28" s="20"/>
      <c r="AM28" s="53"/>
      <c r="AN28" s="54"/>
      <c r="AO28" s="69"/>
      <c r="AP28" s="53"/>
      <c r="AQ28" s="54"/>
      <c r="AR28" s="69"/>
      <c r="AS28" s="53"/>
      <c r="AU28" s="69"/>
      <c r="AV28" s="53"/>
      <c r="AW28" s="54"/>
      <c r="AX28" s="20"/>
      <c r="AY28" s="53"/>
      <c r="BA28" s="69"/>
      <c r="BB28" s="53"/>
      <c r="BC28" s="54"/>
      <c r="BD28" s="20"/>
      <c r="BE28" s="53"/>
    </row>
    <row r="29" spans="2:57" hidden="1" outlineLevel="1" x14ac:dyDescent="0.4">
      <c r="B29" s="51" t="s">
        <v>8</v>
      </c>
      <c r="E29" s="52"/>
      <c r="F29" s="53"/>
      <c r="G29" s="54"/>
      <c r="H29" s="20"/>
      <c r="I29" s="53"/>
      <c r="J29" s="54"/>
      <c r="K29" s="20"/>
      <c r="L29" s="53"/>
      <c r="M29" s="54"/>
      <c r="N29" s="20"/>
      <c r="O29" s="53"/>
      <c r="P29" s="54"/>
      <c r="Q29" s="20"/>
      <c r="R29" s="53"/>
      <c r="S29" s="54"/>
      <c r="T29" s="20"/>
      <c r="U29" s="53"/>
      <c r="V29" s="54"/>
      <c r="W29" s="20"/>
      <c r="X29" s="53"/>
      <c r="Y29" s="54"/>
      <c r="Z29" s="20"/>
      <c r="AA29" s="53"/>
      <c r="AB29" s="54"/>
      <c r="AC29" s="20"/>
      <c r="AD29" s="53"/>
      <c r="AE29" s="54"/>
      <c r="AF29" s="20"/>
      <c r="AG29" s="53"/>
      <c r="AI29" s="69"/>
      <c r="AJ29" s="53"/>
      <c r="AK29" s="54"/>
      <c r="AL29" s="20"/>
      <c r="AM29" s="53"/>
      <c r="AN29" s="54"/>
      <c r="AO29" s="69"/>
      <c r="AP29" s="53"/>
      <c r="AQ29" s="54"/>
      <c r="AR29" s="69"/>
      <c r="AS29" s="53"/>
      <c r="AU29" s="69"/>
      <c r="AV29" s="53"/>
      <c r="AW29" s="54"/>
      <c r="AX29" s="20"/>
      <c r="AY29" s="53"/>
      <c r="BA29" s="69"/>
      <c r="BB29" s="53"/>
      <c r="BC29" s="54"/>
      <c r="BD29" s="20"/>
      <c r="BE29" s="53"/>
    </row>
    <row r="30" spans="2:57" hidden="1" outlineLevel="1" x14ac:dyDescent="0.4">
      <c r="C30" s="56" t="s">
        <v>17</v>
      </c>
      <c r="D30" s="57"/>
      <c r="E30" s="58"/>
      <c r="F30" s="59">
        <v>496447374.70771897</v>
      </c>
      <c r="G30" s="54"/>
      <c r="H30" s="60">
        <f>1-F30/I30</f>
        <v>-3.2421205424186805E-2</v>
      </c>
      <c r="I30" s="59">
        <v>480857398.22027934</v>
      </c>
      <c r="J30" s="54"/>
      <c r="K30" s="60">
        <f>1-I30/L30</f>
        <v>-7.6090450184733704E-3</v>
      </c>
      <c r="L30" s="59">
        <v>477226162.86306101</v>
      </c>
      <c r="M30" s="54"/>
      <c r="N30" s="60">
        <f>1-I30/O30</f>
        <v>4.1052946004005442E-4</v>
      </c>
      <c r="O30" s="59">
        <v>481054885.42264152</v>
      </c>
      <c r="P30" s="54"/>
      <c r="Q30" s="60">
        <f>1-I30/R30</f>
        <v>6.0124116319082432E-4</v>
      </c>
      <c r="R30" s="61">
        <v>481146683.4118793</v>
      </c>
      <c r="S30" s="54"/>
      <c r="T30" s="60">
        <f>1-R30/U30</f>
        <v>1.4670500195829383E-2</v>
      </c>
      <c r="U30" s="59">
        <v>488310441.84458584</v>
      </c>
      <c r="V30" s="54"/>
      <c r="W30" s="60">
        <f>1-U30/X30</f>
        <v>6.2471367382327392E-3</v>
      </c>
      <c r="X30" s="59">
        <v>491380160.90018409</v>
      </c>
      <c r="Y30" s="54"/>
      <c r="Z30" s="60">
        <f>1-X30/AA30</f>
        <v>1.862370947687042E-3</v>
      </c>
      <c r="AA30" s="59">
        <v>492297000.53160763</v>
      </c>
      <c r="AB30" s="54"/>
      <c r="AC30" s="60">
        <f>1-AA30/AD30</f>
        <v>2.902740746804966E-3</v>
      </c>
      <c r="AD30" s="59">
        <v>493730171.21752775</v>
      </c>
      <c r="AE30" s="54"/>
      <c r="AF30" s="60">
        <f>1-AD30/AG30</f>
        <v>3.6712869465350684E-3</v>
      </c>
      <c r="AG30" s="59">
        <v>495549475.53843433</v>
      </c>
      <c r="AH30" s="73">
        <f>AD30/AD19/12</f>
        <v>768.82064413538467</v>
      </c>
      <c r="AI30" s="62">
        <f>AJ30/AV30</f>
        <v>2.8578938787187796E-2</v>
      </c>
      <c r="AJ30" s="59">
        <f t="shared" ref="AJ30:AJ37" si="37">AD30-AV30</f>
        <v>13718231.83279556</v>
      </c>
      <c r="AK30" s="54"/>
      <c r="AL30" s="60">
        <f>AM30/AY30</f>
        <v>3.5526475886805201E-2</v>
      </c>
      <c r="AM30" s="59">
        <f t="shared" ref="AM30:AM37" si="38">AG30-AY30</f>
        <v>17001136.043729305</v>
      </c>
      <c r="AN30" s="54"/>
      <c r="AO30" s="62">
        <f t="shared" ref="AO30:AO38" si="39">AP30/AV30</f>
        <v>-1.1488988250651594E-2</v>
      </c>
      <c r="AP30" s="59">
        <f t="shared" ref="AP30:AP38" si="40">AD30-BB30</f>
        <v>-5514851.5317636728</v>
      </c>
      <c r="AQ30" s="54"/>
      <c r="AR30" s="62">
        <f t="shared" ref="AR30:AR38" si="41">AS30/AY30</f>
        <v>-2.354757840314705E-2</v>
      </c>
      <c r="AS30" s="59">
        <f t="shared" ref="AS30:AS38" si="42">AG30-BE30</f>
        <v>-11268654.543947399</v>
      </c>
      <c r="AU30" s="62">
        <v>-2.5593240790264815E-2</v>
      </c>
      <c r="AV30" s="59">
        <v>480011939.38473219</v>
      </c>
      <c r="AW30" s="54"/>
      <c r="AX30" s="60">
        <v>-3.0584159827460322E-3</v>
      </c>
      <c r="AY30" s="59">
        <v>478548339.49470502</v>
      </c>
      <c r="BA30" s="62">
        <v>1.391705856058767E-2</v>
      </c>
      <c r="BB30" s="59">
        <v>499245022.74929142</v>
      </c>
      <c r="BC30" s="54"/>
      <c r="BD30" s="60">
        <v>1.4942455456081083E-2</v>
      </c>
      <c r="BE30" s="59">
        <v>506818130.08238173</v>
      </c>
    </row>
    <row r="31" spans="2:57" hidden="1" outlineLevel="1" x14ac:dyDescent="0.4">
      <c r="C31" s="56" t="s">
        <v>18</v>
      </c>
      <c r="D31" s="57"/>
      <c r="E31" s="58"/>
      <c r="F31" s="59">
        <v>132319611.50837028</v>
      </c>
      <c r="G31" s="54"/>
      <c r="H31" s="60">
        <f t="shared" ref="H31:H38" si="43">1-F31/I31</f>
        <v>1.0214317618130964E-2</v>
      </c>
      <c r="I31" s="59">
        <v>133685113.72072977</v>
      </c>
      <c r="J31" s="54"/>
      <c r="K31" s="60">
        <f t="shared" ref="K31:K38" si="44">1-I31/L31</f>
        <v>-8.8893540160817075E-3</v>
      </c>
      <c r="L31" s="59">
        <v>132507210.2194061</v>
      </c>
      <c r="M31" s="54"/>
      <c r="N31" s="60">
        <f t="shared" ref="N31:N36" si="45">1-I31/O31</f>
        <v>7.2681159868105416E-3</v>
      </c>
      <c r="O31" s="59">
        <v>134663866.32037863</v>
      </c>
      <c r="P31" s="54"/>
      <c r="Q31" s="60">
        <f t="shared" ref="Q31:Q36" si="46">1-I31/R31</f>
        <v>-6.8730959828915417E-3</v>
      </c>
      <c r="R31" s="61">
        <v>132772555.20491263</v>
      </c>
      <c r="S31" s="54"/>
      <c r="T31" s="60">
        <f t="shared" ref="T31:T38" si="47">1-R31/U31</f>
        <v>9.6350127563697985E-3</v>
      </c>
      <c r="U31" s="59">
        <v>134064266.11914393</v>
      </c>
      <c r="V31" s="54"/>
      <c r="W31" s="60">
        <f t="shared" ref="W31:W38" si="48">1-U31/X31</f>
        <v>5.8598384002309656E-3</v>
      </c>
      <c r="X31" s="59">
        <v>134854491.64774501</v>
      </c>
      <c r="Y31" s="54"/>
      <c r="Z31" s="60">
        <f t="shared" ref="Z31:Z38" si="49">1-X31/AA31</f>
        <v>1.5492714453118062E-3</v>
      </c>
      <c r="AA31" s="59">
        <v>135063742.04659477</v>
      </c>
      <c r="AB31" s="54"/>
      <c r="AC31" s="60">
        <f t="shared" ref="AC31:AC38" si="50">1-AA31/AD31</f>
        <v>2.8421306728768636E-3</v>
      </c>
      <c r="AD31" s="59">
        <v>135448704.96557888</v>
      </c>
      <c r="AE31" s="54"/>
      <c r="AF31" s="60">
        <f t="shared" ref="AF31:AF38" si="51">1-AD31/AG31</f>
        <v>3.8161993008364314E-3</v>
      </c>
      <c r="AG31" s="59">
        <v>135967584.36597273</v>
      </c>
      <c r="AH31" s="74">
        <f t="shared" ref="AH31:AH37" si="52">AD31/AD20/12</f>
        <v>2686.1849750620941</v>
      </c>
      <c r="AI31" s="62">
        <f t="shared" ref="AI31:AI38" si="53">AJ31/AV31</f>
        <v>4.5248436850224512E-2</v>
      </c>
      <c r="AJ31" s="59">
        <f t="shared" si="37"/>
        <v>5863526.7530736327</v>
      </c>
      <c r="AK31" s="54"/>
      <c r="AL31" s="60">
        <f t="shared" ref="AL31:AL38" si="54">AM31/AY31</f>
        <v>5.3887892188978707E-2</v>
      </c>
      <c r="AM31" s="59">
        <f t="shared" si="38"/>
        <v>6952358.5779990703</v>
      </c>
      <c r="AN31" s="54"/>
      <c r="AO31" s="62">
        <f t="shared" si="39"/>
        <v>-1.1597892707793116E-2</v>
      </c>
      <c r="AP31" s="59">
        <f t="shared" si="40"/>
        <v>-1502914.9934288859</v>
      </c>
      <c r="AQ31" s="54"/>
      <c r="AR31" s="62">
        <f t="shared" si="41"/>
        <v>-2.3817208110423746E-2</v>
      </c>
      <c r="AS31" s="59">
        <f t="shared" si="42"/>
        <v>-3072782.482005477</v>
      </c>
      <c r="AU31" s="62">
        <v>-4.2277704207075884E-2</v>
      </c>
      <c r="AV31" s="59">
        <v>129585178.21250525</v>
      </c>
      <c r="AW31" s="54"/>
      <c r="AX31" s="60">
        <v>-4.4177144290571402E-3</v>
      </c>
      <c r="AY31" s="59">
        <v>129015225.78797366</v>
      </c>
      <c r="BA31" s="62">
        <v>1.3784998768018086E-2</v>
      </c>
      <c r="BB31" s="59">
        <v>136951619.95900777</v>
      </c>
      <c r="BC31" s="54"/>
      <c r="BD31" s="60">
        <v>1.5022593339775847E-2</v>
      </c>
      <c r="BE31" s="59">
        <v>139040366.8479782</v>
      </c>
    </row>
    <row r="32" spans="2:57" hidden="1" outlineLevel="1" x14ac:dyDescent="0.4">
      <c r="C32" s="56" t="s">
        <v>19</v>
      </c>
      <c r="D32" s="57"/>
      <c r="E32" s="58"/>
      <c r="F32" s="59">
        <v>359363080.55031395</v>
      </c>
      <c r="G32" s="54"/>
      <c r="H32" s="60">
        <f t="shared" si="43"/>
        <v>-4.5488777093410038E-2</v>
      </c>
      <c r="I32" s="59">
        <v>343727344.01739675</v>
      </c>
      <c r="J32" s="54"/>
      <c r="K32" s="60">
        <f t="shared" si="44"/>
        <v>-1.5452899974906842E-2</v>
      </c>
      <c r="L32" s="59">
        <v>338496590.06921023</v>
      </c>
      <c r="M32" s="54"/>
      <c r="N32" s="60">
        <f t="shared" si="45"/>
        <v>1.7152138073244338E-2</v>
      </c>
      <c r="O32" s="59">
        <v>349725890.78391075</v>
      </c>
      <c r="P32" s="54"/>
      <c r="Q32" s="60">
        <f t="shared" si="46"/>
        <v>-2.7386427893546728E-2</v>
      </c>
      <c r="R32" s="61">
        <v>334564809</v>
      </c>
      <c r="S32" s="54"/>
      <c r="T32" s="60">
        <f t="shared" si="47"/>
        <v>8.132037845026252E-3</v>
      </c>
      <c r="U32" s="59">
        <v>337307808.8671304</v>
      </c>
      <c r="V32" s="54"/>
      <c r="W32" s="60">
        <f t="shared" si="48"/>
        <v>9.8145534034937976E-3</v>
      </c>
      <c r="X32" s="59">
        <v>340651147.74867117</v>
      </c>
      <c r="Y32" s="54"/>
      <c r="Z32" s="60">
        <f t="shared" si="49"/>
        <v>5.9452782009313809E-3</v>
      </c>
      <c r="AA32" s="59">
        <v>342688526.37423319</v>
      </c>
      <c r="AB32" s="54"/>
      <c r="AC32" s="60">
        <f t="shared" si="50"/>
        <v>6.8950432852818988E-3</v>
      </c>
      <c r="AD32" s="59">
        <v>345067783.67905658</v>
      </c>
      <c r="AE32" s="54"/>
      <c r="AF32" s="60">
        <f t="shared" si="51"/>
        <v>8.0620991992945701E-3</v>
      </c>
      <c r="AG32" s="59">
        <v>347872365.19595963</v>
      </c>
      <c r="AH32" s="74">
        <f t="shared" si="52"/>
        <v>54051.971127671772</v>
      </c>
      <c r="AI32" s="62">
        <f t="shared" si="53"/>
        <v>4.6944004181804472E-2</v>
      </c>
      <c r="AJ32" s="59">
        <f t="shared" si="37"/>
        <v>15472521.372043371</v>
      </c>
      <c r="AK32" s="54"/>
      <c r="AL32" s="60">
        <f t="shared" si="54"/>
        <v>5.4127392522296099E-2</v>
      </c>
      <c r="AM32" s="59">
        <f t="shared" si="38"/>
        <v>17862569.735111952</v>
      </c>
      <c r="AN32" s="54"/>
      <c r="AO32" s="62">
        <f t="shared" si="39"/>
        <v>-1.2198511500547534E-2</v>
      </c>
      <c r="AP32" s="59">
        <f t="shared" si="40"/>
        <v>-4020571.5977780819</v>
      </c>
      <c r="AQ32" s="54"/>
      <c r="AR32" s="62">
        <f t="shared" si="41"/>
        <v>-2.4590181400594678E-2</v>
      </c>
      <c r="AS32" s="59">
        <f t="shared" si="42"/>
        <v>-8115000.7343553901</v>
      </c>
      <c r="AU32" s="62">
        <v>-3.9725279955704629E-2</v>
      </c>
      <c r="AV32" s="59">
        <v>329595262.30701321</v>
      </c>
      <c r="AW32" s="54"/>
      <c r="AX32" s="60">
        <v>1.2561237864335828E-3</v>
      </c>
      <c r="AY32" s="59">
        <v>330009795.46084768</v>
      </c>
      <c r="BA32" s="62">
        <v>1.8332977327548683E-2</v>
      </c>
      <c r="BB32" s="59">
        <v>349088355.27683467</v>
      </c>
      <c r="BC32" s="54"/>
      <c r="BD32" s="60">
        <v>1.937993118225112E-2</v>
      </c>
      <c r="BE32" s="59">
        <v>355987365.93031502</v>
      </c>
    </row>
    <row r="33" spans="2:70" hidden="1" outlineLevel="1" x14ac:dyDescent="0.4">
      <c r="C33" s="56" t="s">
        <v>20</v>
      </c>
      <c r="D33" s="57"/>
      <c r="E33" s="58"/>
      <c r="F33" s="59">
        <v>78175305.617562145</v>
      </c>
      <c r="G33" s="54"/>
      <c r="H33" s="60">
        <f t="shared" si="43"/>
        <v>-1.5941199847260279E-3</v>
      </c>
      <c r="I33" s="59">
        <v>78050883.144915313</v>
      </c>
      <c r="J33" s="54"/>
      <c r="K33" s="60">
        <f t="shared" si="44"/>
        <v>1.8211520651870816E-2</v>
      </c>
      <c r="L33" s="59">
        <v>79498674.904739335</v>
      </c>
      <c r="M33" s="54"/>
      <c r="N33" s="60">
        <f t="shared" si="45"/>
        <v>-8.0692494397628156E-2</v>
      </c>
      <c r="O33" s="59">
        <v>72223026.947568864</v>
      </c>
      <c r="P33" s="54"/>
      <c r="Q33" s="60">
        <f t="shared" si="46"/>
        <v>3.8504175001503382E-2</v>
      </c>
      <c r="R33" s="61">
        <v>81176518</v>
      </c>
      <c r="S33" s="54"/>
      <c r="T33" s="60">
        <f t="shared" si="47"/>
        <v>8.1926002873416115E-2</v>
      </c>
      <c r="U33" s="59">
        <v>88420452.222880453</v>
      </c>
      <c r="V33" s="54"/>
      <c r="W33" s="60">
        <f t="shared" si="48"/>
        <v>-3.408423248031589E-3</v>
      </c>
      <c r="X33" s="59">
        <v>88120101.619900286</v>
      </c>
      <c r="Y33" s="54"/>
      <c r="Z33" s="60">
        <f t="shared" si="49"/>
        <v>-7.1600036596908279E-3</v>
      </c>
      <c r="AA33" s="59">
        <v>87493646.788693547</v>
      </c>
      <c r="AB33" s="54"/>
      <c r="AC33" s="60">
        <f t="shared" si="50"/>
        <v>-9.9769682928543268E-3</v>
      </c>
      <c r="AD33" s="59">
        <v>86629348.525226727</v>
      </c>
      <c r="AE33" s="54"/>
      <c r="AF33" s="60">
        <f t="shared" si="51"/>
        <v>-9.6280465899816203E-3</v>
      </c>
      <c r="AG33" s="59">
        <v>85803231.019400969</v>
      </c>
      <c r="AH33" s="74">
        <f t="shared" si="52"/>
        <v>601592.69809185225</v>
      </c>
      <c r="AI33" s="62">
        <f t="shared" si="53"/>
        <v>0.15446793407824488</v>
      </c>
      <c r="AJ33" s="59">
        <f t="shared" si="37"/>
        <v>11591016.174840838</v>
      </c>
      <c r="AK33" s="54"/>
      <c r="AL33" s="60">
        <f t="shared" si="54"/>
        <v>0.13430221614717502</v>
      </c>
      <c r="AM33" s="59">
        <f t="shared" si="38"/>
        <v>10159165.621341258</v>
      </c>
      <c r="AN33" s="54"/>
      <c r="AO33" s="62">
        <f t="shared" si="39"/>
        <v>-9.9295234238665681E-2</v>
      </c>
      <c r="AP33" s="59">
        <f t="shared" si="40"/>
        <v>-7450948.7876104116</v>
      </c>
      <c r="AQ33" s="54"/>
      <c r="AR33" s="62">
        <f t="shared" si="41"/>
        <v>-9.8724560766431921E-2</v>
      </c>
      <c r="AS33" s="59">
        <f t="shared" si="42"/>
        <v>-7467927.1310106963</v>
      </c>
      <c r="AU33" s="62">
        <v>-0.16598602405166063</v>
      </c>
      <c r="AV33" s="59">
        <v>75038332.350385889</v>
      </c>
      <c r="AW33" s="54"/>
      <c r="AX33" s="60">
        <v>8.0076744221280194E-3</v>
      </c>
      <c r="AY33" s="59">
        <v>75644065.398059711</v>
      </c>
      <c r="BA33" s="62">
        <v>7.001094503604266E-2</v>
      </c>
      <c r="BB33" s="59">
        <v>94080297.312837139</v>
      </c>
      <c r="BC33" s="54"/>
      <c r="BD33" s="60">
        <v>-8.6751272147884695E-3</v>
      </c>
      <c r="BE33" s="59">
        <v>93271158.150411665</v>
      </c>
    </row>
    <row r="34" spans="2:70" hidden="1" outlineLevel="1" x14ac:dyDescent="0.4">
      <c r="C34" s="56" t="s">
        <v>21</v>
      </c>
      <c r="D34" s="57"/>
      <c r="E34" s="58"/>
      <c r="F34" s="59">
        <v>33402763</v>
      </c>
      <c r="G34" s="54"/>
      <c r="H34" s="60">
        <f t="shared" si="43"/>
        <v>0.19438201650660447</v>
      </c>
      <c r="I34" s="59">
        <v>41462285.704144582</v>
      </c>
      <c r="J34" s="54"/>
      <c r="K34" s="60">
        <f t="shared" si="44"/>
        <v>2.4384456939527066E-2</v>
      </c>
      <c r="L34" s="59">
        <v>42498590.760535441</v>
      </c>
      <c r="M34" s="54"/>
      <c r="N34" s="60">
        <f t="shared" si="45"/>
        <v>4.9844234594935144E-2</v>
      </c>
      <c r="O34" s="59">
        <v>43637356.33016827</v>
      </c>
      <c r="P34" s="54"/>
      <c r="Q34" s="60">
        <f t="shared" si="46"/>
        <v>2.5626474498387286E-2</v>
      </c>
      <c r="R34" s="61">
        <v>42552763</v>
      </c>
      <c r="S34" s="54"/>
      <c r="T34" s="60">
        <f t="shared" si="47"/>
        <v>2.03620870638066E-3</v>
      </c>
      <c r="U34" s="59">
        <v>42639586.096446052</v>
      </c>
      <c r="V34" s="54"/>
      <c r="W34" s="60">
        <f t="shared" si="48"/>
        <v>4.9273441077180014E-4</v>
      </c>
      <c r="X34" s="59">
        <v>42660606.445226006</v>
      </c>
      <c r="Y34" s="54"/>
      <c r="Z34" s="60">
        <f t="shared" si="49"/>
        <v>2.1493003491748208E-3</v>
      </c>
      <c r="AA34" s="59">
        <v>42752494.396360196</v>
      </c>
      <c r="AB34" s="54"/>
      <c r="AC34" s="60">
        <f t="shared" si="50"/>
        <v>-7.8413735833748888E-4</v>
      </c>
      <c r="AD34" s="59">
        <v>42718996.835031144</v>
      </c>
      <c r="AE34" s="54"/>
      <c r="AF34" s="60">
        <f t="shared" si="51"/>
        <v>-4.3932608340186974E-3</v>
      </c>
      <c r="AG34" s="59">
        <v>42532142.041214556</v>
      </c>
      <c r="AH34" s="74">
        <f t="shared" si="52"/>
        <v>3559916.4029192622</v>
      </c>
      <c r="AI34" s="62">
        <f t="shared" si="53"/>
        <v>7.3144610778299313E-2</v>
      </c>
      <c r="AJ34" s="59">
        <f t="shared" si="37"/>
        <v>2911689.9669948369</v>
      </c>
      <c r="AK34" s="54"/>
      <c r="AL34" s="60">
        <f t="shared" si="54"/>
        <v>9.4061851162215132E-2</v>
      </c>
      <c r="AM34" s="59">
        <f t="shared" si="38"/>
        <v>3656696.3833361417</v>
      </c>
      <c r="AN34" s="54"/>
      <c r="AO34" s="62">
        <f t="shared" si="39"/>
        <v>0</v>
      </c>
      <c r="AP34" s="59">
        <f t="shared" si="40"/>
        <v>0</v>
      </c>
      <c r="AQ34" s="54"/>
      <c r="AR34" s="62">
        <f t="shared" si="41"/>
        <v>0</v>
      </c>
      <c r="AS34" s="59">
        <f t="shared" si="42"/>
        <v>0</v>
      </c>
      <c r="AU34" s="62">
        <v>-7.3986103558509209E-2</v>
      </c>
      <c r="AV34" s="59">
        <v>39807306.868036307</v>
      </c>
      <c r="AW34" s="54"/>
      <c r="AX34" s="60">
        <v>-2.3970431576751494E-2</v>
      </c>
      <c r="AY34" s="59">
        <v>38875445.657878414</v>
      </c>
      <c r="BA34" s="62">
        <v>-7.8413735833748888E-4</v>
      </c>
      <c r="BB34" s="59">
        <v>42718996.835031144</v>
      </c>
      <c r="BC34" s="54"/>
      <c r="BD34" s="60">
        <v>-4.3932608340186974E-3</v>
      </c>
      <c r="BE34" s="59">
        <v>42532142.041214556</v>
      </c>
    </row>
    <row r="35" spans="2:70" hidden="1" outlineLevel="1" x14ac:dyDescent="0.4">
      <c r="C35" s="56" t="s">
        <v>22</v>
      </c>
      <c r="D35" s="57"/>
      <c r="E35" s="58"/>
      <c r="F35" s="59">
        <v>11044795.87491863</v>
      </c>
      <c r="G35" s="54"/>
      <c r="H35" s="60">
        <f>1-(F35+F37)/I35</f>
        <v>-7.5941341610981539E-2</v>
      </c>
      <c r="I35" s="59">
        <v>10301084.929751232</v>
      </c>
      <c r="J35" s="54"/>
      <c r="K35" s="60">
        <f>1-(I35+I37)/L35</f>
        <v>-0.12959519224020655</v>
      </c>
      <c r="L35" s="59">
        <v>9119271.2225714959</v>
      </c>
      <c r="M35" s="54"/>
      <c r="N35" s="60">
        <f>1-I35/(O35+O37)</f>
        <v>-0.12057974372564928</v>
      </c>
      <c r="O35" s="59">
        <v>9157883.1611797065</v>
      </c>
      <c r="P35" s="54"/>
      <c r="Q35" s="60">
        <f>1-I35/(R35+R37)</f>
        <v>-0.12670644466739334</v>
      </c>
      <c r="R35" s="61">
        <v>9142652</v>
      </c>
      <c r="S35" s="54"/>
      <c r="T35" s="60">
        <f t="shared" si="47"/>
        <v>-6.5719785358201444E-2</v>
      </c>
      <c r="U35" s="59">
        <v>8578851.707184026</v>
      </c>
      <c r="V35" s="54"/>
      <c r="W35" s="60">
        <f t="shared" si="48"/>
        <v>-0.63786254575607093</v>
      </c>
      <c r="X35" s="59">
        <v>5237833.7421617098</v>
      </c>
      <c r="Y35" s="54"/>
      <c r="Z35" s="60">
        <f t="shared" si="49"/>
        <v>-7.915908579123232E-2</v>
      </c>
      <c r="AA35" s="59">
        <v>4853625.207928787</v>
      </c>
      <c r="AB35" s="54"/>
      <c r="AC35" s="60">
        <f t="shared" si="50"/>
        <v>1.8633679931449598E-2</v>
      </c>
      <c r="AD35" s="59">
        <v>4945783.3519187327</v>
      </c>
      <c r="AE35" s="54"/>
      <c r="AF35" s="60">
        <f t="shared" si="51"/>
        <v>1.8651972362244473E-2</v>
      </c>
      <c r="AG35" s="59">
        <v>5039785.2878187746</v>
      </c>
      <c r="AH35" s="74">
        <f t="shared" si="52"/>
        <v>30.606505809833255</v>
      </c>
      <c r="AI35" s="62">
        <f t="shared" si="53"/>
        <v>6.7879113975201398E-3</v>
      </c>
      <c r="AJ35" s="59">
        <f t="shared" si="37"/>
        <v>33345.194955265149</v>
      </c>
      <c r="AK35" s="54"/>
      <c r="AL35" s="60">
        <f t="shared" si="54"/>
        <v>-1.5138765482387549E-2</v>
      </c>
      <c r="AM35" s="59">
        <f t="shared" si="38"/>
        <v>-77468.911233210936</v>
      </c>
      <c r="AN35" s="54"/>
      <c r="AO35" s="62">
        <f t="shared" si="39"/>
        <v>-6.8783730877429244E-4</v>
      </c>
      <c r="AP35" s="59">
        <f t="shared" si="40"/>
        <v>-3378.9582414058968</v>
      </c>
      <c r="AQ35" s="54"/>
      <c r="AR35" s="62">
        <f t="shared" si="41"/>
        <v>-1.327791042907731E-3</v>
      </c>
      <c r="AS35" s="59">
        <f t="shared" si="42"/>
        <v>-6794.6442897832021</v>
      </c>
      <c r="AU35" s="62">
        <v>1.1972252302313913E-2</v>
      </c>
      <c r="AV35" s="59">
        <v>4912438.1569634676</v>
      </c>
      <c r="AW35" s="54"/>
      <c r="AX35" s="60">
        <v>4.0024597981953236E-2</v>
      </c>
      <c r="AY35" s="59">
        <v>5117254.1990519855</v>
      </c>
      <c r="BA35" s="62">
        <v>1.9303691462133621E-2</v>
      </c>
      <c r="BB35" s="59">
        <v>4949162.3101601386</v>
      </c>
      <c r="BC35" s="54"/>
      <c r="BD35" s="60">
        <v>1.9303691462133732E-2</v>
      </c>
      <c r="BE35" s="59">
        <v>5046579.9321085578</v>
      </c>
    </row>
    <row r="36" spans="2:70" hidden="1" outlineLevel="1" x14ac:dyDescent="0.4">
      <c r="C36" s="56" t="s">
        <v>23</v>
      </c>
      <c r="D36" s="57"/>
      <c r="E36" s="58"/>
      <c r="F36" s="59">
        <v>3208501.6632417804</v>
      </c>
      <c r="G36" s="54"/>
      <c r="H36" s="60">
        <f t="shared" si="43"/>
        <v>-0.15024805493545434</v>
      </c>
      <c r="I36" s="59">
        <v>2789399.7729227403</v>
      </c>
      <c r="J36" s="54"/>
      <c r="K36" s="60">
        <f t="shared" si="44"/>
        <v>1.7187168407710729E-3</v>
      </c>
      <c r="L36" s="59">
        <v>2794202.2153267423</v>
      </c>
      <c r="M36" s="54"/>
      <c r="N36" s="60">
        <f t="shared" si="45"/>
        <v>-2.5482756371048243E-2</v>
      </c>
      <c r="O36" s="59">
        <v>2720084.521746417</v>
      </c>
      <c r="P36" s="54"/>
      <c r="Q36" s="60">
        <f t="shared" si="46"/>
        <v>-3.2680459631196257E-2</v>
      </c>
      <c r="R36" s="61">
        <v>2701125.7421476976</v>
      </c>
      <c r="S36" s="54"/>
      <c r="T36" s="60">
        <f t="shared" si="47"/>
        <v>-5.4301974448682788E-3</v>
      </c>
      <c r="U36" s="59">
        <v>2686537.3140891874</v>
      </c>
      <c r="V36" s="54"/>
      <c r="W36" s="60">
        <f t="shared" si="48"/>
        <v>-7.2525111696277733E-3</v>
      </c>
      <c r="X36" s="59">
        <v>2667193.4637021297</v>
      </c>
      <c r="Y36" s="54"/>
      <c r="Z36" s="60">
        <f t="shared" si="49"/>
        <v>-5.5831083960609096E-3</v>
      </c>
      <c r="AA36" s="59">
        <v>2652384.9112346303</v>
      </c>
      <c r="AB36" s="54"/>
      <c r="AC36" s="60">
        <f t="shared" si="50"/>
        <v>-8.5392774995538545E-3</v>
      </c>
      <c r="AD36" s="59">
        <v>2629927.232790201</v>
      </c>
      <c r="AE36" s="54"/>
      <c r="AF36" s="60">
        <f t="shared" si="51"/>
        <v>-1.2176368303349117E-2</v>
      </c>
      <c r="AG36" s="59">
        <v>2598289.5028448366</v>
      </c>
      <c r="AH36" s="74">
        <f t="shared" si="52"/>
        <v>738.45377664794944</v>
      </c>
      <c r="AI36" s="62">
        <f t="shared" si="53"/>
        <v>6.6096057546241203E-3</v>
      </c>
      <c r="AJ36" s="59">
        <f t="shared" si="37"/>
        <v>17268.643248304259</v>
      </c>
      <c r="AK36" s="54"/>
      <c r="AL36" s="60">
        <f t="shared" si="54"/>
        <v>-2.3545011097507194E-2</v>
      </c>
      <c r="AM36" s="59">
        <f t="shared" si="38"/>
        <v>-62651.894735853653</v>
      </c>
      <c r="AN36" s="54"/>
      <c r="AO36" s="62">
        <f t="shared" si="39"/>
        <v>0</v>
      </c>
      <c r="AP36" s="59">
        <f t="shared" si="40"/>
        <v>0</v>
      </c>
      <c r="AQ36" s="54"/>
      <c r="AR36" s="62">
        <f t="shared" si="41"/>
        <v>0</v>
      </c>
      <c r="AS36" s="59">
        <f t="shared" si="42"/>
        <v>0</v>
      </c>
      <c r="AU36" s="62">
        <v>-1.5205324511879281E-2</v>
      </c>
      <c r="AV36" s="59">
        <v>2612658.5895418967</v>
      </c>
      <c r="AW36" s="54"/>
      <c r="AX36" s="60">
        <v>1.8145009913668853E-2</v>
      </c>
      <c r="AY36" s="59">
        <v>2660941.3975806902</v>
      </c>
      <c r="BA36" s="62">
        <v>-8.5392774995538545E-3</v>
      </c>
      <c r="BB36" s="59">
        <v>2629927.232790201</v>
      </c>
      <c r="BC36" s="54"/>
      <c r="BD36" s="60">
        <v>-1.2176368303349117E-2</v>
      </c>
      <c r="BE36" s="59">
        <v>2598289.5028448366</v>
      </c>
    </row>
    <row r="37" spans="2:70" hidden="1" outlineLevel="1" x14ac:dyDescent="0.4">
      <c r="C37" s="56" t="s">
        <v>24</v>
      </c>
      <c r="D37" s="57"/>
      <c r="E37" s="58"/>
      <c r="F37" s="59">
        <v>38567.264446573652</v>
      </c>
      <c r="G37" s="54"/>
      <c r="H37" s="60"/>
      <c r="I37" s="59"/>
      <c r="J37" s="54"/>
      <c r="K37" s="60"/>
      <c r="L37" s="59"/>
      <c r="M37" s="54"/>
      <c r="N37" s="60"/>
      <c r="O37" s="59">
        <v>34755.727243069101</v>
      </c>
      <c r="P37" s="54"/>
      <c r="Q37" s="60"/>
      <c r="R37" s="61"/>
      <c r="S37" s="54"/>
      <c r="T37" s="60">
        <f t="shared" si="47"/>
        <v>1</v>
      </c>
      <c r="U37" s="59">
        <v>34297.182591568067</v>
      </c>
      <c r="V37" s="54"/>
      <c r="W37" s="60">
        <f t="shared" si="48"/>
        <v>-4.2165679008532964E-2</v>
      </c>
      <c r="X37" s="59">
        <v>32909.529916775595</v>
      </c>
      <c r="Y37" s="54"/>
      <c r="Z37" s="60">
        <f t="shared" si="49"/>
        <v>-4.0438411758503934E-2</v>
      </c>
      <c r="AA37" s="59">
        <v>31630.444959402575</v>
      </c>
      <c r="AB37" s="54"/>
      <c r="AC37" s="60">
        <f t="shared" si="50"/>
        <v>-4.3497046953593577E-2</v>
      </c>
      <c r="AD37" s="59">
        <v>30311.964036453326</v>
      </c>
      <c r="AE37" s="54"/>
      <c r="AF37" s="60">
        <f t="shared" si="51"/>
        <v>-4.7260205809113831E-2</v>
      </c>
      <c r="AG37" s="59">
        <v>28944.061722496452</v>
      </c>
      <c r="AH37" s="74">
        <f t="shared" si="52"/>
        <v>120.09738077953413</v>
      </c>
      <c r="AI37" s="62">
        <f t="shared" si="53"/>
        <v>-9.0960143733364793E-2</v>
      </c>
      <c r="AJ37" s="59">
        <f t="shared" si="37"/>
        <v>-3033.0689975684145</v>
      </c>
      <c r="AK37" s="54"/>
      <c r="AL37" s="60">
        <f t="shared" si="54"/>
        <v>-9.7167270946513118E-2</v>
      </c>
      <c r="AM37" s="59">
        <f t="shared" si="38"/>
        <v>-3115.1013883057785</v>
      </c>
      <c r="AN37" s="54"/>
      <c r="AO37" s="62">
        <f t="shared" si="39"/>
        <v>0</v>
      </c>
      <c r="AP37" s="59">
        <f t="shared" si="40"/>
        <v>0</v>
      </c>
      <c r="AQ37" s="54"/>
      <c r="AR37" s="62">
        <f t="shared" si="41"/>
        <v>0</v>
      </c>
      <c r="AS37" s="59">
        <f t="shared" si="42"/>
        <v>0</v>
      </c>
      <c r="AU37" s="62">
        <v>5.1419594422646986E-2</v>
      </c>
      <c r="AV37" s="59">
        <v>33345.033034021741</v>
      </c>
      <c r="AW37" s="54"/>
      <c r="AX37" s="60">
        <v>-4.0109279171615109E-2</v>
      </c>
      <c r="AY37" s="59">
        <v>32059.16311080223</v>
      </c>
      <c r="BA37" s="62">
        <v>-4.3497046953593577E-2</v>
      </c>
      <c r="BB37" s="59">
        <v>30311.964036453326</v>
      </c>
      <c r="BC37" s="54"/>
      <c r="BD37" s="60">
        <v>-4.7260205809113831E-2</v>
      </c>
      <c r="BE37" s="59">
        <v>28944.061722496452</v>
      </c>
    </row>
    <row r="38" spans="2:70" hidden="1" outlineLevel="1" x14ac:dyDescent="0.4">
      <c r="C38" s="64" t="s">
        <v>25</v>
      </c>
      <c r="D38" s="65"/>
      <c r="E38" s="63"/>
      <c r="F38" s="75">
        <f>SUM(F30:F37)</f>
        <v>1114000000.1865726</v>
      </c>
      <c r="G38" s="54"/>
      <c r="H38" s="67">
        <f t="shared" si="43"/>
        <v>-2.1199974584420911E-2</v>
      </c>
      <c r="I38" s="75">
        <f>SUM(I30:I37)</f>
        <v>1090873509.5101395</v>
      </c>
      <c r="J38" s="54"/>
      <c r="K38" s="67">
        <f t="shared" si="44"/>
        <v>-8.0699369657681874E-3</v>
      </c>
      <c r="L38" s="75">
        <f>SUM(L30:L37)</f>
        <v>1082140702.2548506</v>
      </c>
      <c r="M38" s="54"/>
      <c r="N38" s="67">
        <f>1-L38/O38</f>
        <v>1.0132516571325856E-2</v>
      </c>
      <c r="O38" s="75">
        <f>SUM(O30:O37)</f>
        <v>1093217749.2148376</v>
      </c>
      <c r="P38" s="54"/>
      <c r="Q38" s="67">
        <f t="shared" ref="Q38" si="55">1-L38/R38</f>
        <v>1.7678073349158829E-3</v>
      </c>
      <c r="R38" s="75">
        <f>SUM(R30:R37)</f>
        <v>1084057106.3589396</v>
      </c>
      <c r="S38" s="54"/>
      <c r="T38" s="67">
        <f t="shared" si="47"/>
        <v>1.6319823614940887E-2</v>
      </c>
      <c r="U38" s="75">
        <f>SUM(U30:U37)</f>
        <v>1102042241.3540518</v>
      </c>
      <c r="V38" s="54"/>
      <c r="W38" s="67">
        <f t="shared" si="48"/>
        <v>3.2219513581470682E-3</v>
      </c>
      <c r="X38" s="75">
        <f>SUM(X30:X37)</f>
        <v>1105604445.0975072</v>
      </c>
      <c r="Y38" s="54"/>
      <c r="Z38" s="67">
        <f t="shared" si="49"/>
        <v>2.0116800114363675E-3</v>
      </c>
      <c r="AA38" s="75">
        <f>SUM(AA30:AA37)</f>
        <v>1107833050.7016122</v>
      </c>
      <c r="AB38" s="54"/>
      <c r="AC38" s="67">
        <f t="shared" si="50"/>
        <v>3.0309340842761268E-3</v>
      </c>
      <c r="AD38" s="75">
        <f>SUM(AD30:AD37)</f>
        <v>1111201027.7711666</v>
      </c>
      <c r="AE38" s="54"/>
      <c r="AF38" s="67">
        <f t="shared" si="51"/>
        <v>3.7572350615078243E-3</v>
      </c>
      <c r="AG38" s="75">
        <f>SUM(AG30:AG37)</f>
        <v>1115391817.0133681</v>
      </c>
      <c r="AH38" s="74"/>
      <c r="AI38" s="68">
        <f t="shared" si="53"/>
        <v>4.6726386810669381E-2</v>
      </c>
      <c r="AJ38" s="75">
        <f>AD38-AV38</f>
        <v>49604566.86895442</v>
      </c>
      <c r="AK38" s="54"/>
      <c r="AL38" s="67">
        <f t="shared" si="54"/>
        <v>5.2352605689818456E-2</v>
      </c>
      <c r="AM38" s="75">
        <f>AG38-AY38</f>
        <v>55488690.454159975</v>
      </c>
      <c r="AN38" s="54"/>
      <c r="AO38" s="68">
        <f t="shared" si="39"/>
        <v>-1.7419675507495659E-2</v>
      </c>
      <c r="AP38" s="75">
        <f t="shared" si="40"/>
        <v>-18492665.868822336</v>
      </c>
      <c r="AQ38" s="54"/>
      <c r="AR38" s="68">
        <f t="shared" si="41"/>
        <v>-2.8239523769285717E-2</v>
      </c>
      <c r="AS38" s="75">
        <f t="shared" si="42"/>
        <v>-29931159.535609007</v>
      </c>
      <c r="AU38" s="68">
        <v>-4.3553828127973704E-2</v>
      </c>
      <c r="AV38" s="75">
        <v>1061596460.9022121</v>
      </c>
      <c r="AW38" s="54"/>
      <c r="AX38" s="67">
        <v>-1.5976312368293222E-3</v>
      </c>
      <c r="AY38" s="75">
        <v>1059903126.5592082</v>
      </c>
      <c r="BA38" s="68">
        <v>1.9350947129694429E-2</v>
      </c>
      <c r="BB38" s="75">
        <v>1129693693.6399889</v>
      </c>
      <c r="BC38" s="54"/>
      <c r="BD38" s="67">
        <v>1.3646179487363019E-2</v>
      </c>
      <c r="BE38" s="75">
        <v>1145322976.5489771</v>
      </c>
    </row>
    <row r="39" spans="2:70" ht="6.95" hidden="1" customHeight="1" outlineLevel="1" x14ac:dyDescent="0.4">
      <c r="C39" s="39"/>
      <c r="D39" s="39"/>
      <c r="E39" s="52"/>
      <c r="F39" s="76"/>
      <c r="G39" s="54"/>
      <c r="H39" s="77"/>
      <c r="I39" s="76"/>
      <c r="J39" s="54"/>
      <c r="K39" s="77"/>
      <c r="L39" s="76"/>
      <c r="M39" s="54"/>
      <c r="N39" s="77"/>
      <c r="O39" s="76"/>
      <c r="P39" s="54"/>
      <c r="Q39" s="77"/>
      <c r="R39" s="76"/>
      <c r="S39" s="54"/>
      <c r="T39" s="77"/>
      <c r="U39" s="76"/>
      <c r="V39" s="54"/>
      <c r="W39" s="77"/>
      <c r="X39" s="76"/>
      <c r="Y39" s="54"/>
      <c r="Z39" s="77"/>
      <c r="AA39" s="76"/>
      <c r="AB39" s="54"/>
      <c r="AC39" s="77"/>
      <c r="AD39" s="76"/>
      <c r="AE39" s="54"/>
      <c r="AF39" s="77"/>
      <c r="AG39" s="76"/>
      <c r="AH39" s="74"/>
      <c r="AI39" s="78"/>
      <c r="AJ39" s="76"/>
      <c r="AK39" s="54"/>
      <c r="AL39" s="79"/>
      <c r="AM39" s="76"/>
      <c r="AN39" s="54"/>
      <c r="AO39" s="78"/>
      <c r="AP39" s="76"/>
      <c r="AQ39" s="54"/>
      <c r="AR39" s="78"/>
      <c r="AS39" s="76"/>
      <c r="AU39" s="78"/>
      <c r="AV39" s="76"/>
      <c r="AW39" s="54"/>
      <c r="AX39" s="77"/>
      <c r="AY39" s="76"/>
      <c r="BA39" s="78"/>
      <c r="BB39" s="76"/>
      <c r="BC39" s="54"/>
      <c r="BD39" s="77"/>
      <c r="BE39" s="76"/>
    </row>
    <row r="40" spans="2:70" hidden="1" outlineLevel="1" x14ac:dyDescent="0.4">
      <c r="B40" s="51" t="s">
        <v>27</v>
      </c>
      <c r="E40" s="52"/>
      <c r="F40" s="53"/>
      <c r="G40" s="54"/>
      <c r="H40" s="20"/>
      <c r="I40" s="53"/>
      <c r="J40" s="54"/>
      <c r="K40" s="20"/>
      <c r="L40" s="53"/>
      <c r="M40" s="54"/>
      <c r="N40" s="20"/>
      <c r="O40" s="53"/>
      <c r="P40" s="54"/>
      <c r="Q40" s="80"/>
      <c r="R40" s="53"/>
      <c r="S40" s="54"/>
      <c r="T40" s="20"/>
      <c r="U40" s="53"/>
      <c r="V40" s="54"/>
      <c r="W40" s="20"/>
      <c r="X40" s="53"/>
      <c r="Y40" s="54"/>
      <c r="Z40" s="20"/>
      <c r="AA40" s="53"/>
      <c r="AB40" s="54"/>
      <c r="AC40" s="20"/>
      <c r="AD40" s="53"/>
      <c r="AE40" s="54"/>
      <c r="AF40" s="20"/>
      <c r="AG40" s="53"/>
      <c r="AI40" s="69"/>
      <c r="AJ40" s="53"/>
      <c r="AK40" s="54"/>
      <c r="AL40" s="20"/>
      <c r="AM40" s="53"/>
      <c r="AN40" s="54"/>
      <c r="AO40" s="69"/>
      <c r="AP40" s="53"/>
      <c r="AQ40" s="54"/>
      <c r="AR40" s="69"/>
      <c r="AS40" s="53"/>
      <c r="AU40" s="69"/>
      <c r="AV40" s="53"/>
      <c r="AW40" s="54"/>
      <c r="AX40" s="20"/>
      <c r="AY40" s="53"/>
      <c r="BA40" s="69"/>
      <c r="BB40" s="53"/>
      <c r="BC40" s="54"/>
      <c r="BD40" s="20"/>
      <c r="BE40" s="53"/>
      <c r="BG40" s="23" t="s">
        <v>7</v>
      </c>
      <c r="BH40" s="24" t="s">
        <v>8</v>
      </c>
      <c r="BI40" s="24" t="s">
        <v>9</v>
      </c>
      <c r="BK40" s="81"/>
      <c r="BL40" s="81"/>
    </row>
    <row r="41" spans="2:70" hidden="1" outlineLevel="1" x14ac:dyDescent="0.4">
      <c r="C41" s="56" t="s">
        <v>17</v>
      </c>
      <c r="D41" s="57"/>
      <c r="E41" s="58"/>
      <c r="F41" s="82">
        <v>0</v>
      </c>
      <c r="G41" s="54"/>
      <c r="H41" s="60"/>
      <c r="I41" s="82"/>
      <c r="J41" s="54"/>
      <c r="K41" s="60"/>
      <c r="L41" s="82"/>
      <c r="M41" s="54"/>
      <c r="N41" s="60"/>
      <c r="O41" s="82"/>
      <c r="P41" s="54"/>
      <c r="Q41" s="60"/>
      <c r="R41" s="82"/>
      <c r="S41" s="54"/>
      <c r="T41" s="60"/>
      <c r="U41" s="82"/>
      <c r="V41" s="54"/>
      <c r="W41" s="60"/>
      <c r="X41" s="82"/>
      <c r="Y41" s="54"/>
      <c r="Z41" s="60"/>
      <c r="AA41" s="82"/>
      <c r="AB41" s="54"/>
      <c r="AC41" s="60"/>
      <c r="AD41" s="82"/>
      <c r="AE41" s="54"/>
      <c r="AF41" s="60"/>
      <c r="AG41" s="82"/>
      <c r="AI41" s="62"/>
      <c r="AJ41" s="82"/>
      <c r="AK41" s="54"/>
      <c r="AL41" s="60"/>
      <c r="AM41" s="82"/>
      <c r="AN41" s="54"/>
      <c r="AO41" s="62"/>
      <c r="AP41" s="82"/>
      <c r="AQ41" s="54"/>
      <c r="AR41" s="62"/>
      <c r="AS41" s="82"/>
      <c r="AU41" s="62"/>
      <c r="AV41" s="82"/>
      <c r="AW41" s="54"/>
      <c r="AX41" s="60"/>
      <c r="AY41" s="82"/>
      <c r="BA41" s="62"/>
      <c r="BB41" s="82"/>
      <c r="BC41" s="54"/>
      <c r="BD41" s="60"/>
      <c r="BE41" s="82"/>
      <c r="BG41" s="8" t="s">
        <v>17</v>
      </c>
      <c r="BH41" s="83">
        <f t="shared" ref="BH41:BH48" si="56">SUM(U30,X30,AA30,AD30,AG30)/SUM(U19,X19,AA19,AD19,AG19)/12</f>
        <v>779.02073963164787</v>
      </c>
      <c r="BI41" s="83"/>
      <c r="BJ41" s="83"/>
    </row>
    <row r="42" spans="2:70" hidden="1" outlineLevel="1" x14ac:dyDescent="0.4">
      <c r="C42" s="56" t="s">
        <v>18</v>
      </c>
      <c r="D42" s="57"/>
      <c r="E42" s="58"/>
      <c r="F42" s="82">
        <v>0</v>
      </c>
      <c r="G42" s="54"/>
      <c r="H42" s="60"/>
      <c r="I42" s="82"/>
      <c r="J42" s="54"/>
      <c r="K42" s="60"/>
      <c r="L42" s="82"/>
      <c r="M42" s="54"/>
      <c r="N42" s="60"/>
      <c r="O42" s="82"/>
      <c r="P42" s="54"/>
      <c r="Q42" s="60"/>
      <c r="R42" s="82"/>
      <c r="S42" s="54"/>
      <c r="T42" s="60"/>
      <c r="U42" s="82"/>
      <c r="V42" s="54"/>
      <c r="W42" s="60"/>
      <c r="X42" s="82"/>
      <c r="Y42" s="54"/>
      <c r="Z42" s="60"/>
      <c r="AA42" s="82"/>
      <c r="AB42" s="54"/>
      <c r="AC42" s="60"/>
      <c r="AD42" s="82"/>
      <c r="AE42" s="54"/>
      <c r="AF42" s="60"/>
      <c r="AG42" s="82"/>
      <c r="AI42" s="62"/>
      <c r="AJ42" s="82"/>
      <c r="AK42" s="54"/>
      <c r="AL42" s="60"/>
      <c r="AM42" s="82"/>
      <c r="AN42" s="54"/>
      <c r="AO42" s="62"/>
      <c r="AP42" s="82"/>
      <c r="AQ42" s="54"/>
      <c r="AR42" s="62"/>
      <c r="AS42" s="82"/>
      <c r="AU42" s="62"/>
      <c r="AV42" s="82"/>
      <c r="AW42" s="54"/>
      <c r="AX42" s="60"/>
      <c r="AY42" s="82"/>
      <c r="BA42" s="62"/>
      <c r="BB42" s="82"/>
      <c r="BC42" s="54"/>
      <c r="BD42" s="60"/>
      <c r="BE42" s="82"/>
      <c r="BG42" s="8" t="s">
        <v>18</v>
      </c>
      <c r="BH42" s="83">
        <f t="shared" si="56"/>
        <v>2722.6310377370796</v>
      </c>
      <c r="BI42" s="83"/>
      <c r="BJ42" s="83"/>
    </row>
    <row r="43" spans="2:70" hidden="1" outlineLevel="1" x14ac:dyDescent="0.4">
      <c r="C43" s="56" t="s">
        <v>19</v>
      </c>
      <c r="D43" s="57"/>
      <c r="E43" s="58"/>
      <c r="F43" s="82">
        <v>917360.33609127067</v>
      </c>
      <c r="G43" s="54"/>
      <c r="H43" s="60">
        <f t="shared" ref="H43:H49" si="57">1-F43/I43</f>
        <v>-8.3762280383657961E-2</v>
      </c>
      <c r="I43" s="82">
        <f>406523+439936</f>
        <v>846459</v>
      </c>
      <c r="J43" s="54"/>
      <c r="K43" s="60">
        <f>1-I43/L43</f>
        <v>-3.9126618909814948E-3</v>
      </c>
      <c r="L43" s="82">
        <f>409183+433977</f>
        <v>843160</v>
      </c>
      <c r="M43" s="54"/>
      <c r="N43" s="60">
        <f>1-L43/O43</f>
        <v>4.7457397730929496E-2</v>
      </c>
      <c r="O43" s="82">
        <v>885167.7583674388</v>
      </c>
      <c r="P43" s="54"/>
      <c r="Q43" s="60">
        <f t="shared" ref="Q43:Q49" si="58">1-L43/R43</f>
        <v>-1.3670534234042631E-2</v>
      </c>
      <c r="R43" s="84">
        <v>831789</v>
      </c>
      <c r="S43" s="54"/>
      <c r="T43" s="60">
        <f>1-R43/U43</f>
        <v>2.3669176644795731E-2</v>
      </c>
      <c r="U43" s="82">
        <v>851954.05092458322</v>
      </c>
      <c r="V43" s="54"/>
      <c r="W43" s="60">
        <f>1-U43/X43</f>
        <v>9.8145534034936865E-3</v>
      </c>
      <c r="X43" s="82">
        <v>860398.47773257422</v>
      </c>
      <c r="Y43" s="54"/>
      <c r="Z43" s="60">
        <f>1-X43/AA43</f>
        <v>5.9452782009313809E-3</v>
      </c>
      <c r="AA43" s="82">
        <v>865544.379866131</v>
      </c>
      <c r="AB43" s="54"/>
      <c r="AC43" s="60">
        <f>1-AA43/AD43</f>
        <v>6.8950432852818988E-3</v>
      </c>
      <c r="AD43" s="82">
        <v>871553.78091096319</v>
      </c>
      <c r="AE43" s="54"/>
      <c r="AF43" s="60">
        <f>1-AD43/AG43</f>
        <v>8.0620991992945701E-3</v>
      </c>
      <c r="AG43" s="82">
        <v>878637.44313775434</v>
      </c>
      <c r="AH43" s="74">
        <f>AD43/AD21/12</f>
        <v>136.52158222289523</v>
      </c>
      <c r="AI43" s="62">
        <f t="shared" ref="AI43:AI46" si="59">AJ43/AV43</f>
        <v>4.4941779153203035E-2</v>
      </c>
      <c r="AJ43" s="82">
        <f t="shared" ref="AJ43:AJ46" si="60">AD43-AV43</f>
        <v>37484.554951550905</v>
      </c>
      <c r="AK43" s="54"/>
      <c r="AL43" s="60">
        <f t="shared" ref="AL43:AL46" si="61">AM43/AY43</f>
        <v>5.2111429643467856E-2</v>
      </c>
      <c r="AM43" s="82">
        <f t="shared" ref="AM43:AM46" si="62">AG43-AY43</f>
        <v>43519.20529530372</v>
      </c>
      <c r="AN43" s="54"/>
      <c r="AO43" s="62">
        <f t="shared" ref="AO43:AO46" si="63">AP43/AV43</f>
        <v>-1.2175182492558121E-2</v>
      </c>
      <c r="AP43" s="82">
        <f t="shared" ref="AP43:AP46" si="64">AD43-BB43</f>
        <v>-10154.945037482539</v>
      </c>
      <c r="AQ43" s="54"/>
      <c r="AR43" s="62">
        <f t="shared" ref="AR43:AR46" si="65">AS43/AY43</f>
        <v>-2.4543153979393995E-2</v>
      </c>
      <c r="AS43" s="82">
        <f t="shared" ref="AS43:AS46" si="66">AG43-BE43</f>
        <v>-20496.435502367443</v>
      </c>
      <c r="AU43" s="62">
        <v>-3.7736860355342294E-2</v>
      </c>
      <c r="AV43" s="82">
        <v>834069.22595941229</v>
      </c>
      <c r="AW43" s="54"/>
      <c r="AX43" s="60">
        <v>1.2561237864334718E-3</v>
      </c>
      <c r="AY43" s="82">
        <v>835118.23784245062</v>
      </c>
      <c r="BA43" s="62">
        <v>1.8332977327548683E-2</v>
      </c>
      <c r="BB43" s="82">
        <v>881708.72594844573</v>
      </c>
      <c r="BC43" s="54"/>
      <c r="BD43" s="60">
        <v>1.937993118225112E-2</v>
      </c>
      <c r="BE43" s="82">
        <v>899133.87864012178</v>
      </c>
      <c r="BG43" s="8" t="s">
        <v>19</v>
      </c>
      <c r="BH43" s="83">
        <f t="shared" si="56"/>
        <v>54547.144398979173</v>
      </c>
      <c r="BI43" s="83">
        <f>SUM(U43,X43,AA43,AD43,AG43)/SUM(U21,X21,AA21,AD21,AG21)/12</f>
        <v>137.77226442861345</v>
      </c>
      <c r="BJ43" s="83"/>
      <c r="BK43" s="85" t="s">
        <v>22</v>
      </c>
      <c r="BL43" s="86"/>
      <c r="BM43" s="87"/>
      <c r="BN43" s="87"/>
      <c r="BO43" s="87"/>
      <c r="BP43" s="87"/>
      <c r="BQ43" s="87"/>
      <c r="BR43" s="88"/>
    </row>
    <row r="44" spans="2:70" hidden="1" outlineLevel="1" x14ac:dyDescent="0.4">
      <c r="C44" s="56" t="s">
        <v>20</v>
      </c>
      <c r="D44" s="57"/>
      <c r="E44" s="58"/>
      <c r="F44" s="82">
        <v>167158.6692665494</v>
      </c>
      <c r="G44" s="54"/>
      <c r="H44" s="60">
        <f t="shared" si="57"/>
        <v>8.2498563214302711E-2</v>
      </c>
      <c r="I44" s="82">
        <v>182189</v>
      </c>
      <c r="J44" s="54"/>
      <c r="K44" s="60">
        <f t="shared" ref="K44:K49" si="67">1-I44/L44</f>
        <v>1.1137586096471419E-2</v>
      </c>
      <c r="L44" s="82">
        <v>184241</v>
      </c>
      <c r="M44" s="54"/>
      <c r="N44" s="60">
        <f>1-L44/O44</f>
        <v>-0.15712298802603542</v>
      </c>
      <c r="O44" s="82">
        <v>159223.35128291009</v>
      </c>
      <c r="P44" s="54"/>
      <c r="Q44" s="60">
        <f t="shared" si="58"/>
        <v>1.3244855768715813E-2</v>
      </c>
      <c r="R44" s="84">
        <v>186714</v>
      </c>
      <c r="S44" s="54"/>
      <c r="T44" s="60">
        <f>1-R44/U44</f>
        <v>4.4125677530511553E-2</v>
      </c>
      <c r="U44" s="82">
        <v>195333.21024632914</v>
      </c>
      <c r="V44" s="54"/>
      <c r="W44" s="60">
        <f>1-U44/X44</f>
        <v>-3.408423248031367E-3</v>
      </c>
      <c r="X44" s="82">
        <v>194669.69353718983</v>
      </c>
      <c r="Y44" s="54"/>
      <c r="Z44" s="60">
        <f>1-X44/AA44</f>
        <v>-7.1600036596908279E-3</v>
      </c>
      <c r="AA44" s="82">
        <v>193285.76673996553</v>
      </c>
      <c r="AB44" s="54"/>
      <c r="AC44" s="60">
        <f>1-AA44/AD44</f>
        <v>-9.9769682928543268E-3</v>
      </c>
      <c r="AD44" s="82">
        <v>191376.4103617857</v>
      </c>
      <c r="AE44" s="54"/>
      <c r="AF44" s="60">
        <f>1-AD44/AG44</f>
        <v>-9.6280465899818424E-3</v>
      </c>
      <c r="AG44" s="82">
        <v>189551.40064517764</v>
      </c>
      <c r="AH44" s="74">
        <f t="shared" ref="AH44:AH48" si="68">AD44/AD22/12</f>
        <v>1329.0028497346229</v>
      </c>
      <c r="AI44" s="62">
        <f t="shared" si="59"/>
        <v>0.14108784243328698</v>
      </c>
      <c r="AJ44" s="82">
        <f t="shared" si="60"/>
        <v>23662.406894980377</v>
      </c>
      <c r="AK44" s="54"/>
      <c r="AL44" s="60">
        <f t="shared" si="61"/>
        <v>0.12115584182431806</v>
      </c>
      <c r="AM44" s="82">
        <f t="shared" si="62"/>
        <v>20483.556930655206</v>
      </c>
      <c r="AN44" s="54"/>
      <c r="AO44" s="62">
        <f t="shared" si="63"/>
        <v>-9.8144418962811633E-2</v>
      </c>
      <c r="AP44" s="82">
        <f t="shared" si="64"/>
        <v>-16460.193422176584</v>
      </c>
      <c r="AQ44" s="54"/>
      <c r="AR44" s="62">
        <f t="shared" si="65"/>
        <v>-9.7580359501355102E-2</v>
      </c>
      <c r="AS44" s="82">
        <f t="shared" si="66"/>
        <v>-16497.700969782018</v>
      </c>
      <c r="AU44" s="62">
        <v>-0.15247243965660551</v>
      </c>
      <c r="AV44" s="82">
        <v>167714.00346680533</v>
      </c>
      <c r="AW44" s="54"/>
      <c r="AX44" s="60">
        <v>8.0076744221279084E-3</v>
      </c>
      <c r="AY44" s="82">
        <v>169067.84371452243</v>
      </c>
      <c r="BA44" s="62">
        <v>7.001094503604266E-2</v>
      </c>
      <c r="BB44" s="82">
        <v>207836.60378396229</v>
      </c>
      <c r="BC44" s="54"/>
      <c r="BD44" s="60">
        <v>-8.6751272147884695E-3</v>
      </c>
      <c r="BE44" s="82">
        <v>206049.10161495965</v>
      </c>
      <c r="BG44" s="8" t="s">
        <v>20</v>
      </c>
      <c r="BH44" s="83">
        <f t="shared" si="56"/>
        <v>606203.86135569715</v>
      </c>
      <c r="BI44" s="83">
        <f>SUM(U44,X44,AA44,AD44,AG44)/SUM(U22,X22,AA22,AD22,AG22)/12</f>
        <v>1339.1895576811773</v>
      </c>
      <c r="BJ44" s="83"/>
      <c r="BK44" s="89"/>
      <c r="BL44" s="90" t="s">
        <v>28</v>
      </c>
      <c r="BM44" s="90" t="s">
        <v>29</v>
      </c>
      <c r="BN44" s="90" t="s">
        <v>30</v>
      </c>
      <c r="BO44" s="90" t="s">
        <v>31</v>
      </c>
      <c r="BP44" s="90" t="s">
        <v>32</v>
      </c>
      <c r="BQ44" s="90" t="s">
        <v>33</v>
      </c>
      <c r="BR44" s="91" t="s">
        <v>34</v>
      </c>
    </row>
    <row r="45" spans="2:70" hidden="1" outlineLevel="1" x14ac:dyDescent="0.4">
      <c r="C45" s="56" t="s">
        <v>21</v>
      </c>
      <c r="D45" s="57"/>
      <c r="E45" s="58"/>
      <c r="F45" s="82">
        <v>70585</v>
      </c>
      <c r="G45" s="54"/>
      <c r="H45" s="60">
        <f t="shared" si="57"/>
        <v>0.21181633427875923</v>
      </c>
      <c r="I45" s="82">
        <v>89554</v>
      </c>
      <c r="J45" s="54"/>
      <c r="K45" s="60">
        <f>1-I45/L45</f>
        <v>3.4489450475995387E-2</v>
      </c>
      <c r="L45" s="82">
        <v>92753</v>
      </c>
      <c r="M45" s="54"/>
      <c r="N45" s="60">
        <f>1-L45/O45</f>
        <v>6.4348658218613797E-2</v>
      </c>
      <c r="O45" s="82">
        <v>99132.011955871945</v>
      </c>
      <c r="P45" s="54"/>
      <c r="Q45" s="60">
        <f t="shared" si="58"/>
        <v>4.8281707670353446E-3</v>
      </c>
      <c r="R45" s="84">
        <v>93203</v>
      </c>
      <c r="S45" s="54"/>
      <c r="T45" s="60">
        <f>1-R45/U45</f>
        <v>3.3667918008867703E-2</v>
      </c>
      <c r="U45" s="82">
        <v>96450.280123117438</v>
      </c>
      <c r="V45" s="54"/>
      <c r="W45" s="60">
        <f>1-U45/X45</f>
        <v>4.9273441077180014E-4</v>
      </c>
      <c r="X45" s="82">
        <v>96497.827923500081</v>
      </c>
      <c r="Y45" s="54"/>
      <c r="Z45" s="60">
        <f>1-X45/AA45</f>
        <v>2.1493003491748208E-3</v>
      </c>
      <c r="AA45" s="82">
        <v>96705.677469853224</v>
      </c>
      <c r="AB45" s="54"/>
      <c r="AC45" s="60">
        <f>1-AA45/AD45</f>
        <v>-7.8413735833748888E-4</v>
      </c>
      <c r="AD45" s="82">
        <v>96629.906350351259</v>
      </c>
      <c r="AE45" s="54"/>
      <c r="AF45" s="60">
        <f>1-AD45/AG45</f>
        <v>-4.3932608340189194E-3</v>
      </c>
      <c r="AG45" s="82">
        <v>96207.242838440201</v>
      </c>
      <c r="AH45" s="74">
        <f t="shared" si="68"/>
        <v>8052.4921958626046</v>
      </c>
      <c r="AI45" s="62">
        <f t="shared" si="59"/>
        <v>6.7870977225732279E-2</v>
      </c>
      <c r="AJ45" s="82">
        <f t="shared" si="60"/>
        <v>6141.534242523936</v>
      </c>
      <c r="AK45" s="54"/>
      <c r="AL45" s="60">
        <f t="shared" si="61"/>
        <v>8.8685426373865076E-2</v>
      </c>
      <c r="AM45" s="82">
        <f t="shared" si="62"/>
        <v>7837.140228651333</v>
      </c>
      <c r="AN45" s="54"/>
      <c r="AO45" s="62">
        <f t="shared" si="63"/>
        <v>0</v>
      </c>
      <c r="AP45" s="82">
        <f t="shared" si="64"/>
        <v>0</v>
      </c>
      <c r="AQ45" s="54"/>
      <c r="AR45" s="62">
        <f t="shared" si="65"/>
        <v>0</v>
      </c>
      <c r="AS45" s="82">
        <f t="shared" si="66"/>
        <v>0</v>
      </c>
      <c r="AU45" s="62">
        <v>-6.8708334752859423E-2</v>
      </c>
      <c r="AV45" s="82">
        <v>90488.372107827323</v>
      </c>
      <c r="AW45" s="54"/>
      <c r="AX45" s="60">
        <v>-2.3970431576751494E-2</v>
      </c>
      <c r="AY45" s="82">
        <v>88370.102609788868</v>
      </c>
      <c r="BA45" s="62">
        <v>-7.8413735833748888E-4</v>
      </c>
      <c r="BB45" s="82">
        <v>96629.906350351259</v>
      </c>
      <c r="BC45" s="54"/>
      <c r="BD45" s="60">
        <v>-4.3932608340189194E-3</v>
      </c>
      <c r="BE45" s="82">
        <v>96207.242838440201</v>
      </c>
      <c r="BG45" s="8" t="s">
        <v>21</v>
      </c>
      <c r="BH45" s="83">
        <f t="shared" si="56"/>
        <v>3555063.7635712991</v>
      </c>
      <c r="BI45" s="83">
        <f>SUM(U45,X45,AA45,AD45,AG45)/SUM(U23,X23,AA23,AD23,AG23)/12</f>
        <v>8041.5155784210392</v>
      </c>
      <c r="BJ45" s="83"/>
      <c r="BK45" s="92" t="s">
        <v>35</v>
      </c>
      <c r="BL45" s="93">
        <f>F35/F24/12</f>
        <v>72.120896725482268</v>
      </c>
      <c r="BM45" s="93">
        <f>R35/R24/12</f>
        <v>61.122155368364758</v>
      </c>
      <c r="BN45" s="93">
        <f>U35/U24/12</f>
        <v>56.248065845194674</v>
      </c>
      <c r="BO45" s="93">
        <f>X35/X24/12</f>
        <v>33.679426078647658</v>
      </c>
      <c r="BP45" s="93">
        <f>AA35/AA24/12</f>
        <v>30.606505809833262</v>
      </c>
      <c r="BQ45" s="93">
        <f>AD35/AD24/12</f>
        <v>30.606505809833255</v>
      </c>
      <c r="BR45" s="94">
        <f>AG35/AG24/12</f>
        <v>30.606505809833255</v>
      </c>
    </row>
    <row r="46" spans="2:70" hidden="1" outlineLevel="1" x14ac:dyDescent="0.4">
      <c r="C46" s="56" t="s">
        <v>22</v>
      </c>
      <c r="D46" s="57"/>
      <c r="E46" s="58"/>
      <c r="F46" s="82">
        <v>29568.476623240462</v>
      </c>
      <c r="G46" s="54"/>
      <c r="H46" s="60">
        <f t="shared" si="57"/>
        <v>-6.6684245673986897E-2</v>
      </c>
      <c r="I46" s="82">
        <f>27720-I48</f>
        <v>27719.99</v>
      </c>
      <c r="J46" s="54"/>
      <c r="K46" s="60">
        <f t="shared" si="67"/>
        <v>-9.2370780410931719E-2</v>
      </c>
      <c r="L46" s="82">
        <f>25376-L48</f>
        <v>25375.99</v>
      </c>
      <c r="M46" s="54"/>
      <c r="N46" s="60">
        <f>1-L46/O46</f>
        <v>-2.7692917955192797E-2</v>
      </c>
      <c r="O46" s="82">
        <v>24692.191175639095</v>
      </c>
      <c r="P46" s="54"/>
      <c r="Q46" s="60">
        <f t="shared" si="58"/>
        <v>9.5241998438718722E-3</v>
      </c>
      <c r="R46" s="84">
        <v>25620</v>
      </c>
      <c r="S46" s="54"/>
      <c r="T46" s="60">
        <f>1-R46/U46</f>
        <v>-7.1443191568111741E-2</v>
      </c>
      <c r="U46" s="82">
        <v>23911.673714127413</v>
      </c>
      <c r="V46" s="54"/>
      <c r="W46" s="60">
        <f>1-U46/X46</f>
        <v>-0.63786254575607093</v>
      </c>
      <c r="X46" s="82">
        <v>14599.316515348542</v>
      </c>
      <c r="Y46" s="54"/>
      <c r="Z46" s="60">
        <f>1-X46/AA46</f>
        <v>-7.9159085791232542E-2</v>
      </c>
      <c r="AA46" s="82">
        <v>13528.419217862043</v>
      </c>
      <c r="AB46" s="54"/>
      <c r="AC46" s="60">
        <f>1-AA46/AD46</f>
        <v>1.8633679931449709E-2</v>
      </c>
      <c r="AD46" s="82">
        <v>13785.289897575716</v>
      </c>
      <c r="AE46" s="54"/>
      <c r="AF46" s="60">
        <f>1-AD46/AG46</f>
        <v>1.8651972362244362E-2</v>
      </c>
      <c r="AG46" s="82">
        <v>14047.299744168102</v>
      </c>
      <c r="AH46" s="95">
        <f t="shared" si="68"/>
        <v>8.5308944067819262E-2</v>
      </c>
      <c r="AI46" s="62">
        <f t="shared" si="59"/>
        <v>3.2960177379012676E-2</v>
      </c>
      <c r="AJ46" s="82">
        <f t="shared" si="60"/>
        <v>439.86748975947376</v>
      </c>
      <c r="AK46" s="54"/>
      <c r="AL46" s="60">
        <f t="shared" si="61"/>
        <v>1.0463498800738692E-2</v>
      </c>
      <c r="AM46" s="82">
        <f t="shared" si="62"/>
        <v>145.46186398733516</v>
      </c>
      <c r="AN46" s="54"/>
      <c r="AO46" s="62">
        <f t="shared" si="63"/>
        <v>-7.057181958940598E-4</v>
      </c>
      <c r="AP46" s="82">
        <f t="shared" si="64"/>
        <v>-9.4181074250882375</v>
      </c>
      <c r="AQ46" s="54"/>
      <c r="AR46" s="62">
        <f t="shared" si="65"/>
        <v>-1.3623080448993596E-3</v>
      </c>
      <c r="AS46" s="82">
        <f t="shared" si="66"/>
        <v>-18.93858558305692</v>
      </c>
      <c r="AU46" s="62">
        <v>-1.3712328051798561E-2</v>
      </c>
      <c r="AV46" s="82">
        <v>13345.422407816242</v>
      </c>
      <c r="AW46" s="54"/>
      <c r="AX46" s="60">
        <v>4.0024597981953236E-2</v>
      </c>
      <c r="AY46" s="82">
        <v>13901.837880180767</v>
      </c>
      <c r="BA46" s="62">
        <v>1.9303691462133732E-2</v>
      </c>
      <c r="BB46" s="82">
        <v>13794.708005000804</v>
      </c>
      <c r="BC46" s="54"/>
      <c r="BD46" s="60">
        <v>1.9303691462133621E-2</v>
      </c>
      <c r="BE46" s="82">
        <v>14066.238329751159</v>
      </c>
      <c r="BG46" s="8" t="s">
        <v>22</v>
      </c>
      <c r="BH46" s="83">
        <f t="shared" si="56"/>
        <v>36.141675492178564</v>
      </c>
      <c r="BI46" s="96">
        <f>SUM(U46,X46,AA46,AD46,AG46)/SUM(U24,X24,AA24,AD24,AG24)/12</f>
        <v>0.10073701951592795</v>
      </c>
      <c r="BJ46" s="83"/>
      <c r="BK46" s="92" t="s">
        <v>9</v>
      </c>
      <c r="BL46" s="97">
        <f>F46/F24/12</f>
        <v>0.19307781447706227</v>
      </c>
      <c r="BM46" s="97">
        <f>R46/R24/12</f>
        <v>0.17127958283192943</v>
      </c>
      <c r="BN46" s="97">
        <f>U46/U24/12</f>
        <v>0.15677918717428621</v>
      </c>
      <c r="BO46" s="97">
        <f>X46/X24/12</f>
        <v>9.3874037547158326E-2</v>
      </c>
      <c r="BP46" s="97">
        <f>AA46/AA24/12</f>
        <v>8.5308944067819262E-2</v>
      </c>
      <c r="BQ46" s="97">
        <f>AD46/AD24/12</f>
        <v>8.5308944067819262E-2</v>
      </c>
      <c r="BR46" s="98">
        <f>AG46/AG24/12</f>
        <v>8.5308944067819262E-2</v>
      </c>
    </row>
    <row r="47" spans="2:70" hidden="1" outlineLevel="1" x14ac:dyDescent="0.4">
      <c r="C47" s="56" t="s">
        <v>23</v>
      </c>
      <c r="D47" s="57"/>
      <c r="E47" s="58"/>
      <c r="F47" s="82">
        <v>0</v>
      </c>
      <c r="G47" s="54"/>
      <c r="H47" s="60"/>
      <c r="I47" s="82"/>
      <c r="J47" s="54"/>
      <c r="K47" s="60"/>
      <c r="L47" s="82"/>
      <c r="M47" s="54"/>
      <c r="N47" s="60"/>
      <c r="O47" s="82"/>
      <c r="P47" s="54"/>
      <c r="Q47" s="60"/>
      <c r="R47" s="84"/>
      <c r="S47" s="54"/>
      <c r="T47" s="60"/>
      <c r="U47" s="82"/>
      <c r="V47" s="54"/>
      <c r="W47" s="60"/>
      <c r="X47" s="82"/>
      <c r="Y47" s="54"/>
      <c r="Z47" s="60"/>
      <c r="AA47" s="82"/>
      <c r="AB47" s="54"/>
      <c r="AC47" s="60"/>
      <c r="AD47" s="82"/>
      <c r="AE47" s="54"/>
      <c r="AF47" s="60"/>
      <c r="AG47" s="82"/>
      <c r="AH47" s="74"/>
      <c r="AI47" s="62"/>
      <c r="AJ47" s="82"/>
      <c r="AK47" s="54"/>
      <c r="AL47" s="60"/>
      <c r="AM47" s="82"/>
      <c r="AN47" s="54"/>
      <c r="AO47" s="62"/>
      <c r="AP47" s="82"/>
      <c r="AQ47" s="54"/>
      <c r="AR47" s="62"/>
      <c r="AS47" s="82"/>
      <c r="AU47" s="62"/>
      <c r="AV47" s="82"/>
      <c r="AW47" s="54"/>
      <c r="AX47" s="60"/>
      <c r="AY47" s="82"/>
      <c r="BA47" s="62"/>
      <c r="BB47" s="82"/>
      <c r="BC47" s="54"/>
      <c r="BD47" s="60"/>
      <c r="BE47" s="82"/>
      <c r="BG47" s="8" t="s">
        <v>23</v>
      </c>
      <c r="BH47" s="83">
        <f t="shared" si="56"/>
        <v>744.01472401662704</v>
      </c>
      <c r="BI47" s="83"/>
      <c r="BJ47" s="83"/>
      <c r="BK47" s="99"/>
      <c r="BL47" s="100"/>
      <c r="BM47" s="100"/>
      <c r="BN47" s="100"/>
      <c r="BO47" s="100"/>
      <c r="BP47" s="100"/>
      <c r="BQ47" s="100"/>
      <c r="BR47" s="101"/>
    </row>
    <row r="48" spans="2:70" hidden="1" outlineLevel="1" x14ac:dyDescent="0.4">
      <c r="C48" s="56" t="s">
        <v>24</v>
      </c>
      <c r="D48" s="57"/>
      <c r="E48" s="58"/>
      <c r="F48" s="82">
        <v>115.09653485934518</v>
      </c>
      <c r="G48" s="54"/>
      <c r="H48" s="60">
        <f>1-F48/I48</f>
        <v>-11508.653485934517</v>
      </c>
      <c r="I48" s="82">
        <v>0.01</v>
      </c>
      <c r="J48" s="54"/>
      <c r="K48" s="60">
        <f t="shared" si="67"/>
        <v>0</v>
      </c>
      <c r="L48" s="82">
        <v>0.01</v>
      </c>
      <c r="M48" s="54"/>
      <c r="N48" s="60"/>
      <c r="O48" s="82">
        <v>101.90231251042215</v>
      </c>
      <c r="P48" s="54"/>
      <c r="Q48" s="60"/>
      <c r="R48" s="84"/>
      <c r="S48" s="54"/>
      <c r="T48" s="60">
        <f>1-R48/U48</f>
        <v>1</v>
      </c>
      <c r="U48" s="82">
        <v>100.15889621450508</v>
      </c>
      <c r="V48" s="54"/>
      <c r="W48" s="60">
        <f>1-U48/X48</f>
        <v>-4.2165679008532964E-2</v>
      </c>
      <c r="X48" s="82">
        <v>96.106500369299738</v>
      </c>
      <c r="Y48" s="54"/>
      <c r="Z48" s="60">
        <f>1-X48/AA48</f>
        <v>-4.0438411758503934E-2</v>
      </c>
      <c r="AA48" s="82">
        <v>92.371157468960305</v>
      </c>
      <c r="AB48" s="54"/>
      <c r="AC48" s="60">
        <f>1-AA48/AD48</f>
        <v>-4.3497046953593577E-2</v>
      </c>
      <c r="AD48" s="82">
        <v>88.520765572485843</v>
      </c>
      <c r="AE48" s="54"/>
      <c r="AF48" s="60">
        <f>1-AD48/AG48</f>
        <v>-4.7260205809113831E-2</v>
      </c>
      <c r="AG48" s="82">
        <v>84.526047186233583</v>
      </c>
      <c r="AH48" s="95">
        <f t="shared" si="68"/>
        <v>0.35072330110545386</v>
      </c>
      <c r="AI48" s="62">
        <f t="shared" ref="AI48:AI49" si="69">AJ48/AV48</f>
        <v>-8.522863836421099E-2</v>
      </c>
      <c r="AJ48" s="82">
        <f t="shared" ref="AJ48:AJ49" si="70">AD48-AV48</f>
        <v>-8.2474207579142558</v>
      </c>
      <c r="AK48" s="54"/>
      <c r="AL48" s="60">
        <f>AM48/AY48</f>
        <v>-9.1474901576406961E-2</v>
      </c>
      <c r="AM48" s="82">
        <f t="shared" ref="AM48:AM49" si="71">AG48-AY48</f>
        <v>-8.5105099027197753</v>
      </c>
      <c r="AN48" s="54"/>
      <c r="AO48" s="62">
        <f t="shared" ref="AO48:AO49" si="72">AP48/AV48</f>
        <v>0</v>
      </c>
      <c r="AP48" s="82">
        <f>AD48-BB48</f>
        <v>0</v>
      </c>
      <c r="AQ48" s="54"/>
      <c r="AR48" s="62">
        <f t="shared" ref="AR48:AR49" si="73">AS48/AY48</f>
        <v>0</v>
      </c>
      <c r="AS48" s="82">
        <f>AG48-BE48</f>
        <v>0</v>
      </c>
      <c r="AU48" s="62">
        <v>4.543878549533642E-2</v>
      </c>
      <c r="AV48" s="82">
        <v>96.768186330400098</v>
      </c>
      <c r="AW48" s="54"/>
      <c r="AX48" s="60">
        <v>-4.0109279171615109E-2</v>
      </c>
      <c r="AY48" s="82">
        <v>93.036557088953359</v>
      </c>
      <c r="BA48" s="62">
        <v>-4.3497046953593577E-2</v>
      </c>
      <c r="BB48" s="82">
        <v>88.520765572485843</v>
      </c>
      <c r="BC48" s="54"/>
      <c r="BD48" s="60">
        <v>-4.7260205809113831E-2</v>
      </c>
      <c r="BE48" s="82">
        <v>84.526047186233583</v>
      </c>
      <c r="BG48" s="8" t="s">
        <v>24</v>
      </c>
      <c r="BH48" s="83">
        <f t="shared" si="56"/>
        <v>121.07710353291765</v>
      </c>
      <c r="BI48" s="96">
        <f>SUM(U48,X48,AA48,AD48,AG48)/SUM(U26,X26,AA26,AD26,AG26)/12</f>
        <v>0.35358440928287171</v>
      </c>
      <c r="BJ48" s="83"/>
    </row>
    <row r="49" spans="1:62" hidden="1" outlineLevel="1" x14ac:dyDescent="0.4">
      <c r="C49" s="64" t="s">
        <v>25</v>
      </c>
      <c r="D49" s="65"/>
      <c r="E49" s="63"/>
      <c r="F49" s="102">
        <f>SUM(F41:F48)</f>
        <v>1184787.5785159199</v>
      </c>
      <c r="G49" s="54"/>
      <c r="H49" s="67">
        <f t="shared" si="57"/>
        <v>-3.3916425826469698E-2</v>
      </c>
      <c r="I49" s="102">
        <f>SUM(I41:I48)</f>
        <v>1145922</v>
      </c>
      <c r="J49" s="54"/>
      <c r="K49" s="67">
        <f t="shared" si="67"/>
        <v>-3.4219968049731264E-4</v>
      </c>
      <c r="L49" s="102">
        <f>SUM(L41:L48)</f>
        <v>1145530</v>
      </c>
      <c r="M49" s="54"/>
      <c r="N49" s="67">
        <f t="shared" ref="N49" si="74">1-I49/O49</f>
        <v>1.9168779510418843E-2</v>
      </c>
      <c r="O49" s="102">
        <f>SUM(O41:O48)</f>
        <v>1168317.2150943705</v>
      </c>
      <c r="P49" s="54"/>
      <c r="Q49" s="67">
        <f t="shared" si="58"/>
        <v>-7.2134111064021678E-3</v>
      </c>
      <c r="R49" s="102">
        <f>SUM(R41:R48)</f>
        <v>1137326</v>
      </c>
      <c r="S49" s="54"/>
      <c r="T49" s="67">
        <f>1-R49/U49</f>
        <v>2.6052999542745203E-2</v>
      </c>
      <c r="U49" s="102">
        <f>SUM(U41:U48)</f>
        <v>1167749.3739043716</v>
      </c>
      <c r="V49" s="54"/>
      <c r="W49" s="67">
        <f>1-U49/X49</f>
        <v>-1.2758303301942941E-3</v>
      </c>
      <c r="X49" s="102">
        <f>SUM(X41:X48)</f>
        <v>1166261.4222089818</v>
      </c>
      <c r="Y49" s="54"/>
      <c r="Z49" s="67">
        <f>1-X49/AA49</f>
        <v>2.4763083119174745E-3</v>
      </c>
      <c r="AA49" s="102">
        <f>SUM(AA41:AA48)</f>
        <v>1169156.6144512808</v>
      </c>
      <c r="AB49" s="54"/>
      <c r="AC49" s="67">
        <f>1-AA49/AD49</f>
        <v>3.645108433260047E-3</v>
      </c>
      <c r="AD49" s="102">
        <f>SUM(AD41:AD48)</f>
        <v>1173433.9082862483</v>
      </c>
      <c r="AE49" s="54"/>
      <c r="AF49" s="67">
        <f>1-AD49/AG49</f>
        <v>4.3223449125184832E-3</v>
      </c>
      <c r="AG49" s="102">
        <f>SUM(AG41:AG48)</f>
        <v>1178527.9124127266</v>
      </c>
      <c r="AI49" s="68">
        <f t="shared" si="69"/>
        <v>6.1245610428458733E-2</v>
      </c>
      <c r="AJ49" s="102">
        <f t="shared" si="70"/>
        <v>67720.116158057004</v>
      </c>
      <c r="AK49" s="54"/>
      <c r="AL49" s="67">
        <f>AM49/AY49</f>
        <v>6.5046120781356048E-2</v>
      </c>
      <c r="AM49" s="102">
        <f t="shared" si="71"/>
        <v>71976.853808695218</v>
      </c>
      <c r="AN49" s="54"/>
      <c r="AO49" s="68">
        <f t="shared" si="72"/>
        <v>-2.4079067075612231E-2</v>
      </c>
      <c r="AP49" s="102">
        <f>AD49-BB49</f>
        <v>-26624.556567084277</v>
      </c>
      <c r="AQ49" s="54"/>
      <c r="AR49" s="68">
        <f t="shared" si="73"/>
        <v>-3.3449044009253602E-2</v>
      </c>
      <c r="AS49" s="102">
        <f>AG49-BE49</f>
        <v>-37013.075057732407</v>
      </c>
      <c r="AU49" s="68">
        <v>-5.7377255104125613E-2</v>
      </c>
      <c r="AV49" s="102">
        <v>1105713.7921281913</v>
      </c>
      <c r="AW49" s="54"/>
      <c r="AX49" s="67">
        <v>7.5664513564899227E-4</v>
      </c>
      <c r="AY49" s="102">
        <v>1106551.0586040313</v>
      </c>
      <c r="BA49" s="68">
        <v>2.5750287429395002E-2</v>
      </c>
      <c r="BB49" s="102">
        <v>1200058.4648533326</v>
      </c>
      <c r="BC49" s="54"/>
      <c r="BD49" s="67">
        <v>1.2737145663302973E-2</v>
      </c>
      <c r="BE49" s="102">
        <v>1215540.987470459</v>
      </c>
      <c r="BI49" s="83"/>
      <c r="BJ49" s="83"/>
    </row>
    <row r="50" spans="1:62" ht="13.5" customHeight="1" collapsed="1" x14ac:dyDescent="0.4">
      <c r="C50" s="39"/>
      <c r="D50" s="39"/>
      <c r="E50" s="52"/>
      <c r="F50" s="53"/>
      <c r="G50" s="54"/>
      <c r="H50" s="20"/>
      <c r="I50" s="53"/>
      <c r="J50" s="54"/>
      <c r="K50" s="20"/>
      <c r="L50" s="53"/>
      <c r="M50" s="54"/>
      <c r="N50" s="20"/>
      <c r="O50" s="53"/>
      <c r="P50" s="54"/>
      <c r="Q50" s="20"/>
      <c r="R50" s="53"/>
      <c r="S50" s="54"/>
      <c r="T50" s="20"/>
      <c r="U50" s="53"/>
      <c r="V50" s="54"/>
      <c r="W50" s="20"/>
      <c r="X50" s="53"/>
      <c r="Y50" s="54"/>
      <c r="Z50" s="20"/>
      <c r="AA50" s="53"/>
      <c r="AB50" s="54"/>
      <c r="AC50" s="20"/>
      <c r="AD50" s="53"/>
      <c r="AE50" s="54"/>
      <c r="AF50" s="20"/>
      <c r="AG50" s="53"/>
      <c r="AI50" s="69"/>
      <c r="AJ50" s="53"/>
      <c r="AK50" s="54"/>
      <c r="AL50" s="20"/>
      <c r="AM50" s="53"/>
      <c r="AN50" s="54"/>
      <c r="AO50" s="69"/>
      <c r="AP50" s="53"/>
      <c r="AQ50" s="54"/>
      <c r="AR50" s="20"/>
      <c r="AS50" s="53"/>
      <c r="AU50" s="69"/>
      <c r="AV50" s="53"/>
      <c r="AW50" s="54"/>
      <c r="AX50" s="20"/>
      <c r="AY50" s="53"/>
      <c r="BA50" s="69"/>
      <c r="BB50" s="53"/>
      <c r="BC50" s="54"/>
      <c r="BD50" s="20"/>
      <c r="BE50" s="53"/>
    </row>
    <row r="51" spans="1:62" s="49" customFormat="1" x14ac:dyDescent="0.4">
      <c r="A51" s="42" t="s">
        <v>36</v>
      </c>
      <c r="B51" s="43"/>
      <c r="C51" s="44"/>
      <c r="D51" s="44"/>
      <c r="E51" s="45"/>
      <c r="F51" s="46"/>
      <c r="G51" s="47"/>
      <c r="H51" s="48"/>
      <c r="I51" s="46"/>
      <c r="J51" s="47"/>
      <c r="K51" s="48"/>
      <c r="L51" s="46"/>
      <c r="M51" s="47"/>
      <c r="N51" s="48"/>
      <c r="O51" s="46"/>
      <c r="P51" s="47"/>
      <c r="Q51" s="48"/>
      <c r="R51" s="46"/>
      <c r="S51" s="47"/>
      <c r="T51" s="48"/>
      <c r="U51" s="46"/>
      <c r="V51" s="47"/>
      <c r="W51" s="48"/>
      <c r="X51" s="46"/>
      <c r="Y51" s="47"/>
      <c r="Z51" s="48"/>
      <c r="AA51" s="46"/>
      <c r="AB51" s="47"/>
      <c r="AC51" s="48"/>
      <c r="AD51" s="46"/>
      <c r="AE51" s="47"/>
      <c r="AF51" s="48"/>
      <c r="AG51" s="46"/>
      <c r="AI51" s="50"/>
      <c r="AJ51" s="46"/>
      <c r="AK51" s="47"/>
      <c r="AL51" s="48"/>
      <c r="AM51" s="46"/>
      <c r="AN51" s="47"/>
      <c r="AO51" s="50"/>
      <c r="AP51" s="46"/>
      <c r="AQ51" s="47"/>
      <c r="AR51" s="48"/>
      <c r="AS51" s="46"/>
      <c r="AU51" s="50"/>
      <c r="AV51" s="46"/>
      <c r="AW51" s="47"/>
      <c r="AX51" s="48"/>
      <c r="AY51" s="46"/>
      <c r="BA51" s="50"/>
      <c r="BB51" s="46"/>
      <c r="BC51" s="47"/>
      <c r="BD51" s="48"/>
      <c r="BE51" s="46"/>
    </row>
    <row r="52" spans="1:62" ht="9.75" hidden="1" customHeight="1" outlineLevel="1" x14ac:dyDescent="0.4">
      <c r="C52" s="39"/>
      <c r="D52" s="39"/>
      <c r="E52" s="52"/>
      <c r="F52" s="53"/>
      <c r="G52" s="54"/>
      <c r="H52" s="20"/>
      <c r="I52" s="53"/>
      <c r="J52" s="54"/>
      <c r="K52" s="20"/>
      <c r="L52" s="53"/>
      <c r="M52" s="54"/>
      <c r="N52" s="20"/>
      <c r="O52" s="53"/>
      <c r="P52" s="54"/>
      <c r="Q52" s="20"/>
      <c r="R52" s="53"/>
      <c r="S52" s="54"/>
      <c r="T52" s="20"/>
      <c r="U52" s="53"/>
      <c r="V52" s="54"/>
      <c r="W52" s="20"/>
      <c r="X52" s="53"/>
      <c r="Y52" s="54"/>
      <c r="Z52" s="20"/>
      <c r="AA52" s="53"/>
      <c r="AB52" s="54"/>
      <c r="AC52" s="20"/>
      <c r="AD52" s="53"/>
      <c r="AE52" s="54"/>
      <c r="AF52" s="20"/>
      <c r="AG52" s="53"/>
      <c r="AI52" s="69"/>
      <c r="AJ52" s="53"/>
      <c r="AK52" s="54"/>
      <c r="AL52" s="20"/>
      <c r="AM52" s="53"/>
      <c r="AN52" s="54"/>
      <c r="AO52" s="69"/>
      <c r="AP52" s="53"/>
      <c r="AQ52" s="54"/>
      <c r="AR52" s="20"/>
      <c r="AS52" s="53"/>
      <c r="AU52" s="69"/>
      <c r="AV52" s="53"/>
      <c r="AW52" s="54"/>
      <c r="AX52" s="20"/>
      <c r="AY52" s="53"/>
      <c r="BA52" s="69"/>
      <c r="BB52" s="53"/>
      <c r="BC52" s="54"/>
      <c r="BD52" s="20"/>
      <c r="BE52" s="53"/>
    </row>
    <row r="53" spans="1:62" hidden="1" outlineLevel="1" x14ac:dyDescent="0.4">
      <c r="B53" s="103" t="s">
        <v>37</v>
      </c>
      <c r="F53" s="104"/>
      <c r="I53" s="105" t="s">
        <v>12</v>
      </c>
      <c r="L53" s="105" t="s">
        <v>12</v>
      </c>
      <c r="O53" s="104"/>
      <c r="R53" s="104"/>
      <c r="T53" s="106" t="s">
        <v>38</v>
      </c>
      <c r="U53" s="107"/>
      <c r="V53" s="108"/>
      <c r="W53" s="109"/>
      <c r="X53" s="107"/>
      <c r="Y53" s="108"/>
      <c r="Z53" s="109"/>
      <c r="AA53" s="107"/>
      <c r="AB53" s="108"/>
      <c r="AC53" s="109"/>
      <c r="AD53" s="107"/>
      <c r="AE53" s="108"/>
      <c r="AF53" s="109"/>
      <c r="AG53" s="107"/>
      <c r="AI53" s="110"/>
      <c r="AJ53" s="107"/>
      <c r="AK53" s="108"/>
      <c r="AL53" s="109"/>
      <c r="AM53" s="107"/>
      <c r="AN53" s="108"/>
      <c r="AO53" s="110"/>
      <c r="AP53" s="107"/>
      <c r="AQ53" s="108"/>
      <c r="AR53" s="109"/>
      <c r="AS53" s="107"/>
      <c r="AU53" s="110"/>
      <c r="AV53" s="107"/>
      <c r="AW53" s="108"/>
      <c r="AX53" s="109"/>
      <c r="AY53" s="107"/>
      <c r="BA53" s="110"/>
      <c r="BB53" s="107"/>
      <c r="BC53" s="108"/>
      <c r="BD53" s="109"/>
      <c r="BE53" s="107"/>
    </row>
    <row r="54" spans="1:62" hidden="1" outlineLevel="1" x14ac:dyDescent="0.4">
      <c r="C54" s="56" t="s">
        <v>17</v>
      </c>
      <c r="D54" s="57"/>
      <c r="E54" s="111">
        <v>0.58920702270683178</v>
      </c>
      <c r="F54" s="112">
        <f t="shared" ref="F54:F61" si="75">F$62*E54</f>
        <v>10753667.621969853</v>
      </c>
      <c r="G54" s="54"/>
      <c r="H54" s="111">
        <f>I54/I$62</f>
        <v>0.58953109626882083</v>
      </c>
      <c r="I54" s="112">
        <v>10500774.33</v>
      </c>
      <c r="J54" s="54"/>
      <c r="K54" s="111">
        <f>L54/L$62</f>
        <v>0.58928689138741097</v>
      </c>
      <c r="L54" s="112">
        <v>10563015.060000001</v>
      </c>
      <c r="M54" s="54"/>
      <c r="N54" s="111">
        <f>O54/O$62</f>
        <v>0.5922743613382897</v>
      </c>
      <c r="O54" s="112">
        <v>10728223.447996454</v>
      </c>
      <c r="P54" s="54"/>
      <c r="Q54" s="111">
        <f>N54</f>
        <v>0.5922743613382897</v>
      </c>
      <c r="R54" s="112">
        <f t="shared" ref="R54:R61" si="76">R$62*Q54</f>
        <v>10728223.447996454</v>
      </c>
      <c r="S54" s="54"/>
      <c r="T54" s="111">
        <v>0.61241900508715941</v>
      </c>
      <c r="U54" s="112">
        <f t="shared" ref="U54:U61" si="77">U$62*T54</f>
        <v>12845602.564414073</v>
      </c>
      <c r="V54" s="54"/>
      <c r="W54" s="111">
        <v>0.62055476704477364</v>
      </c>
      <c r="X54" s="112">
        <f t="shared" ref="X54:X61" si="78">X$62*W54</f>
        <v>13924495.074321082</v>
      </c>
      <c r="Y54" s="54"/>
      <c r="Z54" s="111">
        <v>0.62137134363702262</v>
      </c>
      <c r="AA54" s="112">
        <f t="shared" ref="AA54:AA61" si="79">AA$62*Z54</f>
        <v>14340917.971369425</v>
      </c>
      <c r="AB54" s="54"/>
      <c r="AC54" s="111">
        <v>0.62242360678407427</v>
      </c>
      <c r="AD54" s="112">
        <f t="shared" ref="AD54:AD61" si="80">AD$62*AC54</f>
        <v>15011111.286847861</v>
      </c>
      <c r="AE54" s="54"/>
      <c r="AF54" s="111">
        <v>0.62411418673075869</v>
      </c>
      <c r="AG54" s="112">
        <f t="shared" ref="AG54:AG61" si="81">AG$62*AF54</f>
        <v>15847833.000959201</v>
      </c>
      <c r="AI54" s="113">
        <f t="shared" ref="AI54:AI59" si="82">AJ54/AV54</f>
        <v>4.5822613317616665E-3</v>
      </c>
      <c r="AJ54" s="112">
        <f t="shared" ref="AJ54:AJ62" si="83">AD54-AV54</f>
        <v>68471.082403253764</v>
      </c>
      <c r="AK54" s="54"/>
      <c r="AL54" s="111">
        <f>AM54/AY54</f>
        <v>5.6915597848273426E-3</v>
      </c>
      <c r="AM54" s="112">
        <f t="shared" ref="AM54:AM62" si="84">AG54-AY54</f>
        <v>89688.421969274059</v>
      </c>
      <c r="AN54" s="54"/>
      <c r="AO54" s="113">
        <f t="shared" ref="AO54:AP62" si="85">AC54-BA54</f>
        <v>1.0749016232919351E-3</v>
      </c>
      <c r="AP54" s="112">
        <f t="shared" si="85"/>
        <v>-507168.12247136422</v>
      </c>
      <c r="AQ54" s="54"/>
      <c r="AR54" s="111">
        <f t="shared" ref="AR54:AS62" si="86">AF54-BD54</f>
        <v>5.2903709724072545E-4</v>
      </c>
      <c r="AS54" s="112">
        <f t="shared" si="86"/>
        <v>-618719.2846365124</v>
      </c>
      <c r="AU54" s="113">
        <v>0.6294147584947708</v>
      </c>
      <c r="AV54" s="112">
        <v>14942640.204444608</v>
      </c>
      <c r="AW54" s="54"/>
      <c r="AX54" s="111">
        <v>0.63097868545077052</v>
      </c>
      <c r="AY54" s="112">
        <v>15758144.578989927</v>
      </c>
      <c r="BA54" s="113">
        <v>0.62134870516078233</v>
      </c>
      <c r="BB54" s="112">
        <v>15518279.409319226</v>
      </c>
      <c r="BC54" s="54"/>
      <c r="BD54" s="111">
        <v>0.62358514963351797</v>
      </c>
      <c r="BE54" s="112">
        <v>16466552.285595713</v>
      </c>
    </row>
    <row r="55" spans="1:62" hidden="1" outlineLevel="1" x14ac:dyDescent="0.4">
      <c r="C55" s="56" t="s">
        <v>18</v>
      </c>
      <c r="D55" s="57"/>
      <c r="E55" s="111">
        <v>0.14109660506423985</v>
      </c>
      <c r="F55" s="112">
        <f t="shared" si="75"/>
        <v>2575166.1724577588</v>
      </c>
      <c r="G55" s="54"/>
      <c r="H55" s="111">
        <f t="shared" ref="H55:H61" si="87">I55/I$62</f>
        <v>0.14670970369467456</v>
      </c>
      <c r="I55" s="112">
        <v>2613204.7999999998</v>
      </c>
      <c r="J55" s="54"/>
      <c r="K55" s="111">
        <f t="shared" ref="K55:K61" si="88">L55/L$62</f>
        <v>0.1456318902834996</v>
      </c>
      <c r="L55" s="112">
        <v>2610463.3800000004</v>
      </c>
      <c r="M55" s="54"/>
      <c r="N55" s="111">
        <f t="shared" ref="N55:N61" si="89">O55/O$62</f>
        <v>0.14580864688595865</v>
      </c>
      <c r="O55" s="112">
        <v>2641120.1405172981</v>
      </c>
      <c r="P55" s="54"/>
      <c r="Q55" s="111">
        <f t="shared" ref="Q55:Q61" si="90">N55</f>
        <v>0.14580864688595865</v>
      </c>
      <c r="R55" s="112">
        <f t="shared" si="76"/>
        <v>2641120.1405172981</v>
      </c>
      <c r="S55" s="54"/>
      <c r="T55" s="111">
        <v>0.12901793201043274</v>
      </c>
      <c r="U55" s="112">
        <f t="shared" si="77"/>
        <v>2706175.1260523773</v>
      </c>
      <c r="V55" s="54"/>
      <c r="W55" s="111">
        <v>0.128925036238137</v>
      </c>
      <c r="X55" s="112">
        <f t="shared" si="78"/>
        <v>2892921.1850290713</v>
      </c>
      <c r="Y55" s="54"/>
      <c r="Z55" s="111">
        <v>0.12895406615197852</v>
      </c>
      <c r="AA55" s="112">
        <f t="shared" si="79"/>
        <v>2976190.8135891771</v>
      </c>
      <c r="AB55" s="54"/>
      <c r="AC55" s="111">
        <v>0.12863978746046878</v>
      </c>
      <c r="AD55" s="112">
        <f t="shared" si="80"/>
        <v>3102430.7954236181</v>
      </c>
      <c r="AE55" s="54"/>
      <c r="AF55" s="111">
        <v>0.12796032615470332</v>
      </c>
      <c r="AG55" s="112">
        <f t="shared" si="81"/>
        <v>3249235.3527013133</v>
      </c>
      <c r="AI55" s="113">
        <f t="shared" si="82"/>
        <v>2.8957639646052535E-2</v>
      </c>
      <c r="AJ55" s="112">
        <f t="shared" si="83"/>
        <v>87310.759490154218</v>
      </c>
      <c r="AK55" s="54"/>
      <c r="AL55" s="111">
        <f t="shared" ref="AL55:AL62" si="91">AM55/AY55</f>
        <v>3.2922825715343045E-2</v>
      </c>
      <c r="AM55" s="112">
        <f t="shared" si="84"/>
        <v>103564.37728155777</v>
      </c>
      <c r="AN55" s="54"/>
      <c r="AO55" s="113">
        <f t="shared" si="85"/>
        <v>1.5973171917754714E-4</v>
      </c>
      <c r="AP55" s="112">
        <f t="shared" si="85"/>
        <v>-106378.34340342181</v>
      </c>
      <c r="AQ55" s="54"/>
      <c r="AR55" s="111">
        <f t="shared" si="86"/>
        <v>4.4931013720606039E-5</v>
      </c>
      <c r="AS55" s="112">
        <f t="shared" si="86"/>
        <v>-128531.9713915051</v>
      </c>
      <c r="AU55" s="113">
        <v>0.12700306125856708</v>
      </c>
      <c r="AV55" s="112">
        <v>3015120.0359334638</v>
      </c>
      <c r="AW55" s="54"/>
      <c r="AX55" s="111">
        <v>0.12595717262153883</v>
      </c>
      <c r="AY55" s="112">
        <v>3145670.9754197556</v>
      </c>
      <c r="BA55" s="113">
        <v>0.12848005574129123</v>
      </c>
      <c r="BB55" s="112">
        <v>3208809.1388270399</v>
      </c>
      <c r="BC55" s="54"/>
      <c r="BD55" s="111">
        <v>0.12791539514098271</v>
      </c>
      <c r="BE55" s="112">
        <v>3377767.3240928184</v>
      </c>
    </row>
    <row r="56" spans="1:62" hidden="1" outlineLevel="1" x14ac:dyDescent="0.4">
      <c r="C56" s="56" t="s">
        <v>19</v>
      </c>
      <c r="D56" s="57"/>
      <c r="E56" s="111">
        <v>0.19208684328482539</v>
      </c>
      <c r="F56" s="112">
        <f t="shared" si="75"/>
        <v>3505793.3589264285</v>
      </c>
      <c r="G56" s="54"/>
      <c r="H56" s="111">
        <f t="shared" si="87"/>
        <v>0.1802672820875543</v>
      </c>
      <c r="I56" s="112">
        <v>3210935.03</v>
      </c>
      <c r="J56" s="54"/>
      <c r="K56" s="111">
        <f t="shared" si="88"/>
        <v>0.18269405154241578</v>
      </c>
      <c r="L56" s="112">
        <v>3274805.6100000003</v>
      </c>
      <c r="M56" s="54"/>
      <c r="N56" s="111">
        <f t="shared" si="89"/>
        <v>0.18229033143171558</v>
      </c>
      <c r="O56" s="112">
        <v>3301934.9404046978</v>
      </c>
      <c r="P56" s="54"/>
      <c r="Q56" s="111">
        <f t="shared" si="90"/>
        <v>0.18229033143171558</v>
      </c>
      <c r="R56" s="112">
        <f t="shared" si="76"/>
        <v>3301934.9404046978</v>
      </c>
      <c r="S56" s="54"/>
      <c r="T56" s="111">
        <v>0.18091347988384593</v>
      </c>
      <c r="U56" s="112">
        <f t="shared" si="77"/>
        <v>3794693.8971991269</v>
      </c>
      <c r="V56" s="54"/>
      <c r="W56" s="111">
        <v>0.18292543244108855</v>
      </c>
      <c r="X56" s="112">
        <f t="shared" si="78"/>
        <v>4104624.471944815</v>
      </c>
      <c r="Y56" s="54"/>
      <c r="Z56" s="111">
        <v>0.18290951209449888</v>
      </c>
      <c r="AA56" s="112">
        <f t="shared" si="79"/>
        <v>4221453.6218823511</v>
      </c>
      <c r="AB56" s="54"/>
      <c r="AC56" s="111">
        <v>0.18246340902659372</v>
      </c>
      <c r="AD56" s="112">
        <f t="shared" si="80"/>
        <v>4400505.5541314352</v>
      </c>
      <c r="AE56" s="54"/>
      <c r="AF56" s="111">
        <v>0.18185572313912421</v>
      </c>
      <c r="AG56" s="112">
        <f t="shared" si="81"/>
        <v>4617775.3876644503</v>
      </c>
      <c r="AI56" s="113">
        <f t="shared" si="82"/>
        <v>3.9972480127182915E-2</v>
      </c>
      <c r="AJ56" s="112">
        <f t="shared" si="83"/>
        <v>169138.24564912077</v>
      </c>
      <c r="AK56" s="54"/>
      <c r="AL56" s="111">
        <f t="shared" si="91"/>
        <v>4.562234485635238E-2</v>
      </c>
      <c r="AM56" s="112">
        <f t="shared" si="84"/>
        <v>201481.67475719564</v>
      </c>
      <c r="AN56" s="54"/>
      <c r="AO56" s="113">
        <f t="shared" si="85"/>
        <v>1.1392182232980441E-4</v>
      </c>
      <c r="AP56" s="112">
        <f t="shared" si="85"/>
        <v>-153700.91492302716</v>
      </c>
      <c r="AQ56" s="54"/>
      <c r="AR56" s="111">
        <f t="shared" si="86"/>
        <v>3.6937318098034799E-5</v>
      </c>
      <c r="AS56" s="112">
        <f t="shared" si="86"/>
        <v>-183378.94544465747</v>
      </c>
      <c r="AU56" s="113">
        <v>0.17823389950718915</v>
      </c>
      <c r="AV56" s="112">
        <v>4231367.3084823145</v>
      </c>
      <c r="AW56" s="54"/>
      <c r="AX56" s="111">
        <v>0.17683472743675882</v>
      </c>
      <c r="AY56" s="112">
        <v>4416293.7129072547</v>
      </c>
      <c r="BA56" s="113">
        <v>0.18234948720426392</v>
      </c>
      <c r="BB56" s="112">
        <v>4554206.4690544624</v>
      </c>
      <c r="BC56" s="54"/>
      <c r="BD56" s="111">
        <v>0.18181878582102617</v>
      </c>
      <c r="BE56" s="112">
        <v>4801154.3331091078</v>
      </c>
    </row>
    <row r="57" spans="1:62" hidden="1" outlineLevel="1" x14ac:dyDescent="0.4">
      <c r="C57" s="56" t="s">
        <v>20</v>
      </c>
      <c r="D57" s="57"/>
      <c r="E57" s="111">
        <v>2.5529591098321626E-2</v>
      </c>
      <c r="F57" s="112">
        <f t="shared" si="75"/>
        <v>465942.74442779453</v>
      </c>
      <c r="G57" s="54"/>
      <c r="H57" s="111">
        <f t="shared" si="87"/>
        <v>3.0473269667404879E-2</v>
      </c>
      <c r="I57" s="112">
        <v>542792.28</v>
      </c>
      <c r="J57" s="54"/>
      <c r="K57" s="111">
        <f t="shared" si="88"/>
        <v>3.1810287541545711E-2</v>
      </c>
      <c r="L57" s="112">
        <v>570201.97</v>
      </c>
      <c r="M57" s="54"/>
      <c r="N57" s="111">
        <f t="shared" si="89"/>
        <v>2.958159439292822E-2</v>
      </c>
      <c r="O57" s="112">
        <v>535829.29687896359</v>
      </c>
      <c r="P57" s="54"/>
      <c r="Q57" s="111">
        <f t="shared" si="90"/>
        <v>2.958159439292822E-2</v>
      </c>
      <c r="R57" s="112">
        <f t="shared" si="76"/>
        <v>535829.29687896359</v>
      </c>
      <c r="S57" s="54"/>
      <c r="T57" s="111">
        <v>2.2897424674266302E-2</v>
      </c>
      <c r="U57" s="112">
        <f t="shared" si="77"/>
        <v>480277.74231528386</v>
      </c>
      <c r="V57" s="54"/>
      <c r="W57" s="111">
        <v>2.2862034523885064E-2</v>
      </c>
      <c r="X57" s="112">
        <f t="shared" si="78"/>
        <v>512996.2801394891</v>
      </c>
      <c r="Y57" s="54"/>
      <c r="Z57" s="111">
        <v>2.2596108408280358E-2</v>
      </c>
      <c r="AA57" s="112">
        <f t="shared" si="79"/>
        <v>521506.08565015264</v>
      </c>
      <c r="AB57" s="54"/>
      <c r="AC57" s="111">
        <v>2.2212092784380476E-2</v>
      </c>
      <c r="AD57" s="112">
        <f t="shared" si="80"/>
        <v>535693.36552460759</v>
      </c>
      <c r="AE57" s="54"/>
      <c r="AF57" s="111">
        <v>2.1797451813654643E-2</v>
      </c>
      <c r="AG57" s="112">
        <f t="shared" si="81"/>
        <v>553492.26717430318</v>
      </c>
      <c r="AI57" s="113">
        <f t="shared" si="82"/>
        <v>5.4766336222322749E-2</v>
      </c>
      <c r="AJ57" s="112">
        <f t="shared" si="83"/>
        <v>27814.656157365709</v>
      </c>
      <c r="AK57" s="54"/>
      <c r="AL57" s="111">
        <f t="shared" si="91"/>
        <v>1.3890565398605066E-2</v>
      </c>
      <c r="AM57" s="112">
        <f t="shared" si="84"/>
        <v>7582.988536622026</v>
      </c>
      <c r="AN57" s="54"/>
      <c r="AO57" s="113">
        <f t="shared" si="85"/>
        <v>-1.6001419051567788E-3</v>
      </c>
      <c r="AP57" s="112">
        <f t="shared" si="85"/>
        <v>-59020.855658010696</v>
      </c>
      <c r="AQ57" s="54"/>
      <c r="AR57" s="111">
        <f t="shared" si="86"/>
        <v>-1.3290596576646281E-3</v>
      </c>
      <c r="AS57" s="112">
        <f t="shared" si="86"/>
        <v>-57192.433302789228</v>
      </c>
      <c r="AU57" s="113">
        <v>2.139289649133996E-2</v>
      </c>
      <c r="AV57" s="112">
        <v>507878.70936724189</v>
      </c>
      <c r="AW57" s="54"/>
      <c r="AX57" s="111">
        <v>2.1858989634442206E-2</v>
      </c>
      <c r="AY57" s="112">
        <v>545909.27863768116</v>
      </c>
      <c r="BA57" s="113">
        <v>2.3812234689537255E-2</v>
      </c>
      <c r="BB57" s="112">
        <v>594714.22118261829</v>
      </c>
      <c r="BC57" s="54"/>
      <c r="BD57" s="111">
        <v>2.3126511471319271E-2</v>
      </c>
      <c r="BE57" s="112">
        <v>610684.70047709241</v>
      </c>
    </row>
    <row r="58" spans="1:62" hidden="1" outlineLevel="1" x14ac:dyDescent="0.4">
      <c r="C58" s="56" t="s">
        <v>21</v>
      </c>
      <c r="D58" s="57"/>
      <c r="E58" s="111">
        <v>1.0823864014603691E-2</v>
      </c>
      <c r="F58" s="112">
        <f t="shared" si="75"/>
        <v>197547.26524426189</v>
      </c>
      <c r="G58" s="54"/>
      <c r="H58" s="111">
        <f t="shared" si="87"/>
        <v>1.2726987837856397E-2</v>
      </c>
      <c r="I58" s="112">
        <v>226694.11</v>
      </c>
      <c r="J58" s="54"/>
      <c r="K58" s="111">
        <f t="shared" si="88"/>
        <v>1.2977912033562923E-2</v>
      </c>
      <c r="L58" s="112">
        <v>232630.12000000002</v>
      </c>
      <c r="M58" s="54"/>
      <c r="N58" s="111">
        <f t="shared" si="89"/>
        <v>1.3102222771309919E-2</v>
      </c>
      <c r="O58" s="112">
        <v>237328.47938652267</v>
      </c>
      <c r="P58" s="54"/>
      <c r="Q58" s="111">
        <f t="shared" si="90"/>
        <v>1.3102222771309919E-2</v>
      </c>
      <c r="R58" s="112">
        <f t="shared" si="76"/>
        <v>237328.47938652267</v>
      </c>
      <c r="S58" s="54"/>
      <c r="T58" s="111">
        <v>1.0781098147593631E-2</v>
      </c>
      <c r="U58" s="112">
        <f t="shared" si="77"/>
        <v>226135.53933098257</v>
      </c>
      <c r="V58" s="54"/>
      <c r="W58" s="111">
        <v>1.0771187215399025E-2</v>
      </c>
      <c r="X58" s="112">
        <f t="shared" si="78"/>
        <v>241692.35543813411</v>
      </c>
      <c r="Y58" s="54"/>
      <c r="Z58" s="111">
        <v>1.0712191734649077E-2</v>
      </c>
      <c r="AA58" s="112">
        <f t="shared" si="79"/>
        <v>247231.65065996908</v>
      </c>
      <c r="AB58" s="54"/>
      <c r="AC58" s="111">
        <v>1.0597682933039618E-2</v>
      </c>
      <c r="AD58" s="112">
        <f t="shared" si="80"/>
        <v>255586.38225907399</v>
      </c>
      <c r="AE58" s="54"/>
      <c r="AF58" s="111">
        <v>1.0441760584630855E-2</v>
      </c>
      <c r="AG58" s="112">
        <f t="shared" si="81"/>
        <v>265142.63174827537</v>
      </c>
      <c r="AI58" s="113">
        <f t="shared" si="82"/>
        <v>3.6447847727965901E-2</v>
      </c>
      <c r="AJ58" s="112">
        <f t="shared" si="83"/>
        <v>8987.9809797872731</v>
      </c>
      <c r="AK58" s="54"/>
      <c r="AL58" s="111">
        <f t="shared" si="91"/>
        <v>4.686079730918763E-2</v>
      </c>
      <c r="AM58" s="112">
        <f t="shared" si="84"/>
        <v>11868.622032954852</v>
      </c>
      <c r="AN58" s="54"/>
      <c r="AO58" s="113">
        <f t="shared" si="85"/>
        <v>1.2828851792554517E-4</v>
      </c>
      <c r="AP58" s="112">
        <f t="shared" si="85"/>
        <v>-5888.3523475844704</v>
      </c>
      <c r="AQ58" s="54"/>
      <c r="AR58" s="111">
        <f t="shared" si="86"/>
        <v>2.394604734307984E-4</v>
      </c>
      <c r="AS58" s="112">
        <f t="shared" si="86"/>
        <v>-4261.96891154896</v>
      </c>
      <c r="AU58" s="113">
        <v>1.0387232180042163E-2</v>
      </c>
      <c r="AV58" s="112">
        <v>246598.40127928671</v>
      </c>
      <c r="AW58" s="54"/>
      <c r="AX58" s="111">
        <v>1.0141454211690082E-2</v>
      </c>
      <c r="AY58" s="112">
        <v>253274.00971532051</v>
      </c>
      <c r="BA58" s="113">
        <v>1.0469394415114073E-2</v>
      </c>
      <c r="BB58" s="112">
        <v>261474.73460665846</v>
      </c>
      <c r="BC58" s="54"/>
      <c r="BD58" s="111">
        <v>1.0202300111200057E-2</v>
      </c>
      <c r="BE58" s="112">
        <v>269404.60065982433</v>
      </c>
    </row>
    <row r="59" spans="1:62" hidden="1" outlineLevel="1" x14ac:dyDescent="0.4">
      <c r="C59" s="56" t="s">
        <v>22</v>
      </c>
      <c r="D59" s="57"/>
      <c r="E59" s="111">
        <v>3.8153831524990564E-2</v>
      </c>
      <c r="F59" s="112">
        <f t="shared" si="75"/>
        <v>696348.83311384264</v>
      </c>
      <c r="G59" s="54"/>
      <c r="H59" s="111">
        <f t="shared" si="87"/>
        <v>3.7629097551072029E-2</v>
      </c>
      <c r="I59" s="112">
        <v>670252.44999999995</v>
      </c>
      <c r="J59" s="54"/>
      <c r="K59" s="111">
        <f t="shared" si="88"/>
        <v>3.4931407667093871E-2</v>
      </c>
      <c r="L59" s="112">
        <v>626148.30000000005</v>
      </c>
      <c r="M59" s="54"/>
      <c r="N59" s="111">
        <f t="shared" si="89"/>
        <v>3.4232386620291863E-2</v>
      </c>
      <c r="O59" s="112">
        <v>620071.90720000002</v>
      </c>
      <c r="P59" s="54"/>
      <c r="Q59" s="111">
        <f t="shared" si="90"/>
        <v>3.4232386620291863E-2</v>
      </c>
      <c r="R59" s="112">
        <f t="shared" si="76"/>
        <v>620071.90720000002</v>
      </c>
      <c r="S59" s="54"/>
      <c r="T59" s="111">
        <v>4.1058150567546747E-2</v>
      </c>
      <c r="U59" s="112">
        <f t="shared" si="77"/>
        <v>861202.34649725759</v>
      </c>
      <c r="V59" s="54"/>
      <c r="W59" s="111">
        <v>3.1063548156571748E-2</v>
      </c>
      <c r="X59" s="112">
        <f t="shared" si="78"/>
        <v>697028.28222075454</v>
      </c>
      <c r="Y59" s="54"/>
      <c r="Z59" s="111">
        <v>3.0589785757675503E-2</v>
      </c>
      <c r="AA59" s="112">
        <f t="shared" si="79"/>
        <v>705995.8796053679</v>
      </c>
      <c r="AB59" s="54"/>
      <c r="AC59" s="111">
        <v>3.0843979392953514E-2</v>
      </c>
      <c r="AD59" s="112">
        <f t="shared" si="80"/>
        <v>743870.25516127003</v>
      </c>
      <c r="AE59" s="54"/>
      <c r="AF59" s="111">
        <v>3.1075113459242579E-2</v>
      </c>
      <c r="AG59" s="112">
        <f t="shared" si="81"/>
        <v>789075.49140585028</v>
      </c>
      <c r="AI59" s="113">
        <f t="shared" si="82"/>
        <v>1.6088423117423221E-2</v>
      </c>
      <c r="AJ59" s="112">
        <f t="shared" si="83"/>
        <v>11778.206637550727</v>
      </c>
      <c r="AK59" s="54"/>
      <c r="AL59" s="111">
        <f t="shared" si="91"/>
        <v>3.3296226392575327E-3</v>
      </c>
      <c r="AM59" s="112">
        <f t="shared" si="84"/>
        <v>2618.6046549258754</v>
      </c>
      <c r="AN59" s="54"/>
      <c r="AO59" s="113">
        <f t="shared" si="85"/>
        <v>1.2514339129236079E-4</v>
      </c>
      <c r="AP59" s="112">
        <f t="shared" si="85"/>
        <v>-23337.395298835123</v>
      </c>
      <c r="AQ59" s="54"/>
      <c r="AR59" s="111">
        <f t="shared" si="86"/>
        <v>4.5158026902614515E-4</v>
      </c>
      <c r="AS59" s="112">
        <f t="shared" si="86"/>
        <v>-19577.522128438344</v>
      </c>
      <c r="AU59" s="113">
        <v>3.0837223784618697E-2</v>
      </c>
      <c r="AV59" s="112">
        <v>732092.04852371931</v>
      </c>
      <c r="AW59" s="54"/>
      <c r="AX59" s="111">
        <v>3.149086049301953E-2</v>
      </c>
      <c r="AY59" s="112">
        <v>786456.8867509244</v>
      </c>
      <c r="BA59" s="113">
        <v>3.0718836001661153E-2</v>
      </c>
      <c r="BB59" s="112">
        <v>767207.65046010516</v>
      </c>
      <c r="BC59" s="54"/>
      <c r="BD59" s="111">
        <v>3.0623533190216434E-2</v>
      </c>
      <c r="BE59" s="112">
        <v>808653.01353428862</v>
      </c>
    </row>
    <row r="60" spans="1:62" hidden="1" outlineLevel="1" x14ac:dyDescent="0.4">
      <c r="C60" s="56" t="s">
        <v>23</v>
      </c>
      <c r="D60" s="57"/>
      <c r="E60" s="111">
        <v>3.0021864930786465E-3</v>
      </c>
      <c r="F60" s="112">
        <f t="shared" si="75"/>
        <v>54793.161726788647</v>
      </c>
      <c r="G60" s="54"/>
      <c r="H60" s="111">
        <f t="shared" si="87"/>
        <v>2.6625628926170743E-3</v>
      </c>
      <c r="I60" s="112">
        <v>47425.78</v>
      </c>
      <c r="J60" s="54"/>
      <c r="K60" s="111">
        <f t="shared" si="88"/>
        <v>2.6675595444712492E-3</v>
      </c>
      <c r="L60" s="112">
        <v>47816.22</v>
      </c>
      <c r="M60" s="54"/>
      <c r="N60" s="111">
        <f t="shared" si="89"/>
        <v>2.7104565595061202E-3</v>
      </c>
      <c r="O60" s="112">
        <v>49096.137727056936</v>
      </c>
      <c r="P60" s="54"/>
      <c r="Q60" s="111">
        <f t="shared" si="90"/>
        <v>2.7104565595061202E-3</v>
      </c>
      <c r="R60" s="112">
        <f t="shared" si="76"/>
        <v>49096.137727056936</v>
      </c>
      <c r="S60" s="54"/>
      <c r="T60" s="111">
        <v>2.8141913354908315E-3</v>
      </c>
      <c r="U60" s="112">
        <f t="shared" si="77"/>
        <v>59028.1868061688</v>
      </c>
      <c r="V60" s="54"/>
      <c r="W60" s="111">
        <v>2.8026708053072984E-3</v>
      </c>
      <c r="X60" s="112">
        <f t="shared" si="78"/>
        <v>62888.527968763847</v>
      </c>
      <c r="Y60" s="54"/>
      <c r="Z60" s="111">
        <v>2.7755513916611495E-3</v>
      </c>
      <c r="AA60" s="112">
        <f t="shared" si="79"/>
        <v>64058.240278915226</v>
      </c>
      <c r="AB60" s="54"/>
      <c r="AC60" s="114">
        <v>2.7321945355814445E-3</v>
      </c>
      <c r="AD60" s="112">
        <f t="shared" si="80"/>
        <v>65892.867468246011</v>
      </c>
      <c r="AE60" s="54"/>
      <c r="AF60" s="114">
        <v>2.6724575546971259E-3</v>
      </c>
      <c r="AG60" s="112">
        <f t="shared" si="81"/>
        <v>67860.436326313909</v>
      </c>
      <c r="AI60" s="113">
        <f>AJ60/AV60</f>
        <v>5.3471826840826617E-2</v>
      </c>
      <c r="AJ60" s="112">
        <f t="shared" si="83"/>
        <v>3344.5716435281138</v>
      </c>
      <c r="AK60" s="54"/>
      <c r="AL60" s="111">
        <f t="shared" si="91"/>
        <v>2.7003178120242298E-2</v>
      </c>
      <c r="AM60" s="112">
        <f t="shared" si="84"/>
        <v>1784.2665811324987</v>
      </c>
      <c r="AN60" s="54"/>
      <c r="AO60" s="113">
        <f t="shared" si="85"/>
        <v>-2.9013241566420989E-6</v>
      </c>
      <c r="AP60" s="112">
        <f t="shared" si="85"/>
        <v>-2416.5719981239527</v>
      </c>
      <c r="AQ60" s="54"/>
      <c r="AR60" s="111">
        <f t="shared" si="86"/>
        <v>2.5231003954188664E-5</v>
      </c>
      <c r="AS60" s="112">
        <f t="shared" si="86"/>
        <v>-2042.91919016061</v>
      </c>
      <c r="AU60" s="115">
        <v>2.6346629492600814E-3</v>
      </c>
      <c r="AV60" s="112">
        <v>62548.295824717898</v>
      </c>
      <c r="AW60" s="54"/>
      <c r="AX60" s="114">
        <v>2.6457845031466884E-3</v>
      </c>
      <c r="AY60" s="112">
        <v>66076.169745181411</v>
      </c>
      <c r="BA60" s="113">
        <v>2.7350958597380866E-3</v>
      </c>
      <c r="BB60" s="112">
        <v>68309.439466369964</v>
      </c>
      <c r="BC60" s="54"/>
      <c r="BD60" s="111">
        <v>2.6472265507429373E-3</v>
      </c>
      <c r="BE60" s="112">
        <v>69903.355516474519</v>
      </c>
    </row>
    <row r="61" spans="1:62" hidden="1" outlineLevel="1" x14ac:dyDescent="0.4">
      <c r="C61" s="56" t="s">
        <v>24</v>
      </c>
      <c r="D61" s="57"/>
      <c r="E61" s="111">
        <v>1.0005581310877889E-4</v>
      </c>
      <c r="F61" s="112">
        <f t="shared" si="75"/>
        <v>1826.1271783128507</v>
      </c>
      <c r="G61" s="54"/>
      <c r="H61" s="111">
        <f t="shared" si="87"/>
        <v>0</v>
      </c>
      <c r="I61" s="112">
        <v>0</v>
      </c>
      <c r="J61" s="54"/>
      <c r="K61" s="111">
        <f t="shared" si="88"/>
        <v>0</v>
      </c>
      <c r="L61" s="112">
        <v>0</v>
      </c>
      <c r="M61" s="54"/>
      <c r="N61" s="111">
        <f t="shared" si="89"/>
        <v>0</v>
      </c>
      <c r="O61" s="112">
        <v>0</v>
      </c>
      <c r="P61" s="54"/>
      <c r="Q61" s="111">
        <f t="shared" si="90"/>
        <v>0</v>
      </c>
      <c r="R61" s="112">
        <f t="shared" si="76"/>
        <v>0</v>
      </c>
      <c r="S61" s="54"/>
      <c r="T61" s="116">
        <v>9.8718293664261649E-5</v>
      </c>
      <c r="U61" s="112">
        <f t="shared" si="77"/>
        <v>2070.634574881858</v>
      </c>
      <c r="V61" s="54"/>
      <c r="W61" s="116">
        <v>9.5323574837734252E-5</v>
      </c>
      <c r="X61" s="112">
        <f t="shared" si="78"/>
        <v>2138.9452128710168</v>
      </c>
      <c r="Y61" s="54"/>
      <c r="Z61" s="111">
        <v>9.1440824233727079E-5</v>
      </c>
      <c r="AA61" s="112">
        <f t="shared" si="79"/>
        <v>2110.4052721432208</v>
      </c>
      <c r="AB61" s="54"/>
      <c r="AC61" s="111">
        <v>8.7247082908284648E-5</v>
      </c>
      <c r="AD61" s="112">
        <f t="shared" si="80"/>
        <v>2104.1548821644292</v>
      </c>
      <c r="AE61" s="54"/>
      <c r="AF61" s="111">
        <v>8.2980563188499181E-5</v>
      </c>
      <c r="AG61" s="112">
        <f t="shared" si="81"/>
        <v>2107.085747602453</v>
      </c>
      <c r="AI61" s="113">
        <f>AJ61/AV61</f>
        <v>-7.9301652333638104E-2</v>
      </c>
      <c r="AJ61" s="112">
        <f t="shared" si="83"/>
        <v>-181.23521058169399</v>
      </c>
      <c r="AK61" s="54"/>
      <c r="AL61" s="111">
        <f t="shared" si="91"/>
        <v>-8.6161501383955952E-2</v>
      </c>
      <c r="AM61" s="112">
        <f t="shared" si="84"/>
        <v>-198.66712973146696</v>
      </c>
      <c r="AN61" s="54"/>
      <c r="AO61" s="113">
        <f t="shared" si="85"/>
        <v>1.0561552964314606E-6</v>
      </c>
      <c r="AP61" s="112">
        <f t="shared" si="85"/>
        <v>-48.476782020080918</v>
      </c>
      <c r="AQ61" s="54"/>
      <c r="AR61" s="111">
        <f t="shared" si="86"/>
        <v>1.8824821941396857E-6</v>
      </c>
      <c r="AS61" s="112">
        <f t="shared" si="86"/>
        <v>-34.411354661635414</v>
      </c>
      <c r="AU61" s="113">
        <v>9.6265334212108062E-5</v>
      </c>
      <c r="AV61" s="112">
        <v>2285.3900927461232</v>
      </c>
      <c r="AW61" s="54"/>
      <c r="AX61" s="111">
        <v>9.232564863342206E-5</v>
      </c>
      <c r="AY61" s="112">
        <v>2305.75287733392</v>
      </c>
      <c r="BA61" s="113">
        <v>8.6190927611853188E-5</v>
      </c>
      <c r="BB61" s="112">
        <v>2152.6316641845101</v>
      </c>
      <c r="BC61" s="54"/>
      <c r="BD61" s="111">
        <v>8.1098080994359496E-5</v>
      </c>
      <c r="BE61" s="112">
        <v>2141.4971022640884</v>
      </c>
    </row>
    <row r="62" spans="1:62" hidden="1" outlineLevel="1" x14ac:dyDescent="0.4">
      <c r="C62" s="64" t="s">
        <v>25</v>
      </c>
      <c r="D62" s="65"/>
      <c r="E62" s="117">
        <f>SUM(E54:E61)</f>
        <v>1.0000000000000002</v>
      </c>
      <c r="F62" s="118">
        <v>18251085.285045035</v>
      </c>
      <c r="G62" s="54"/>
      <c r="H62" s="117">
        <f>SUM(H54:H61)</f>
        <v>1.0000000000000002</v>
      </c>
      <c r="I62" s="118">
        <f>SUM(I54:I61)</f>
        <v>17812078.779999997</v>
      </c>
      <c r="J62" s="54"/>
      <c r="K62" s="117">
        <f>SUM(K54:K61)</f>
        <v>1.0000000000000002</v>
      </c>
      <c r="L62" s="118">
        <f>SUM(L54:L61)</f>
        <v>17925080.66</v>
      </c>
      <c r="M62" s="54"/>
      <c r="N62" s="117">
        <f>SUM(N54:N61)</f>
        <v>0.99999999999999989</v>
      </c>
      <c r="O62" s="118">
        <f>SUM(O54:O61)</f>
        <v>18113604.350110993</v>
      </c>
      <c r="P62" s="54"/>
      <c r="Q62" s="117">
        <f>SUM(Q54:Q61)</f>
        <v>0.99999999999999989</v>
      </c>
      <c r="R62" s="118">
        <f>O62</f>
        <v>18113604.350110993</v>
      </c>
      <c r="S62" s="54"/>
      <c r="T62" s="117">
        <f>SUM(T54:T61)</f>
        <v>0.99999999999999978</v>
      </c>
      <c r="U62" s="118">
        <v>20975186.037190154</v>
      </c>
      <c r="V62" s="54"/>
      <c r="W62" s="117">
        <f>SUM(W54:W61)</f>
        <v>1</v>
      </c>
      <c r="X62" s="118">
        <v>22438785.12227498</v>
      </c>
      <c r="Y62" s="54"/>
      <c r="Z62" s="117">
        <f>SUM(Z54:Z61)</f>
        <v>0.99999999999999978</v>
      </c>
      <c r="AA62" s="118">
        <v>23079464.668307506</v>
      </c>
      <c r="AB62" s="54"/>
      <c r="AC62" s="117">
        <f>SUM(AC54:AC61)</f>
        <v>1.0000000000000002</v>
      </c>
      <c r="AD62" s="118">
        <v>24117194.661698274</v>
      </c>
      <c r="AE62" s="54"/>
      <c r="AF62" s="117">
        <f>SUM(AF54:AF61)</f>
        <v>1</v>
      </c>
      <c r="AG62" s="118">
        <v>25392521.653727312</v>
      </c>
      <c r="AI62" s="119">
        <f>AJ62/AV62</f>
        <v>1.586587416118539E-2</v>
      </c>
      <c r="AJ62" s="118">
        <f t="shared" si="83"/>
        <v>376664.26775017753</v>
      </c>
      <c r="AK62" s="54"/>
      <c r="AL62" s="117">
        <f t="shared" si="91"/>
        <v>1.6752946581740275E-2</v>
      </c>
      <c r="AM62" s="118">
        <f t="shared" si="84"/>
        <v>418390.288683936</v>
      </c>
      <c r="AN62" s="54"/>
      <c r="AO62" s="119">
        <f t="shared" si="85"/>
        <v>0</v>
      </c>
      <c r="AP62" s="118">
        <f t="shared" si="85"/>
        <v>-857959.03288239241</v>
      </c>
      <c r="AQ62" s="54"/>
      <c r="AR62" s="117">
        <f t="shared" si="86"/>
        <v>0</v>
      </c>
      <c r="AS62" s="118">
        <f t="shared" si="86"/>
        <v>-1013739.4563602731</v>
      </c>
      <c r="AU62" s="119">
        <v>1</v>
      </c>
      <c r="AV62" s="118">
        <v>23740530.393948097</v>
      </c>
      <c r="AW62" s="54"/>
      <c r="AX62" s="117">
        <v>1</v>
      </c>
      <c r="AY62" s="118">
        <v>24974131.365043376</v>
      </c>
      <c r="BA62" s="119">
        <v>0.99999999999999989</v>
      </c>
      <c r="BB62" s="118">
        <v>24975153.694580667</v>
      </c>
      <c r="BC62" s="54"/>
      <c r="BD62" s="117">
        <v>0.99999999999999989</v>
      </c>
      <c r="BE62" s="118">
        <v>26406261.110087585</v>
      </c>
    </row>
    <row r="63" spans="1:62" hidden="1" outlineLevel="1" x14ac:dyDescent="0.4">
      <c r="C63" s="39"/>
      <c r="D63" s="39"/>
      <c r="E63" s="52"/>
      <c r="F63" s="53"/>
      <c r="G63" s="54"/>
      <c r="H63" s="20"/>
      <c r="I63" s="53"/>
      <c r="J63" s="54"/>
      <c r="K63" s="20"/>
      <c r="L63" s="53"/>
      <c r="M63" s="54"/>
      <c r="N63" s="20"/>
      <c r="O63" s="53"/>
      <c r="P63" s="54"/>
      <c r="Q63" s="20"/>
      <c r="R63" s="53"/>
      <c r="S63" s="54"/>
      <c r="T63" s="20"/>
      <c r="U63" s="53"/>
      <c r="V63" s="54"/>
      <c r="W63" s="20"/>
      <c r="X63" s="53"/>
      <c r="Y63" s="54"/>
      <c r="Z63" s="20"/>
      <c r="AA63" s="53"/>
      <c r="AB63" s="54"/>
      <c r="AC63" s="20"/>
      <c r="AD63" s="53"/>
      <c r="AE63" s="54"/>
      <c r="AF63" s="20"/>
      <c r="AG63" s="53"/>
      <c r="AI63" s="69"/>
      <c r="AJ63" s="53"/>
      <c r="AK63" s="54"/>
      <c r="AL63" s="20"/>
      <c r="AM63" s="53"/>
      <c r="AN63" s="54"/>
      <c r="AO63" s="69"/>
      <c r="AP63" s="53"/>
      <c r="AQ63" s="54"/>
      <c r="AR63" s="20"/>
      <c r="AS63" s="53"/>
      <c r="AU63" s="69"/>
      <c r="AV63" s="53"/>
      <c r="AW63" s="54"/>
      <c r="AX63" s="20"/>
      <c r="AY63" s="53"/>
      <c r="BA63" s="69"/>
      <c r="BB63" s="53"/>
      <c r="BC63" s="54"/>
      <c r="BD63" s="20"/>
      <c r="BE63" s="53"/>
    </row>
    <row r="64" spans="1:62" hidden="1" outlineLevel="1" x14ac:dyDescent="0.4">
      <c r="B64" s="103" t="s">
        <v>39</v>
      </c>
      <c r="E64" s="120" t="s">
        <v>40</v>
      </c>
      <c r="F64" s="121" t="s">
        <v>41</v>
      </c>
      <c r="H64" s="120" t="s">
        <v>40</v>
      </c>
      <c r="I64" s="121" t="s">
        <v>41</v>
      </c>
      <c r="K64" s="120" t="s">
        <v>40</v>
      </c>
      <c r="L64" s="121" t="s">
        <v>41</v>
      </c>
      <c r="N64" s="120" t="s">
        <v>40</v>
      </c>
      <c r="O64" s="121" t="s">
        <v>41</v>
      </c>
      <c r="Q64" s="120" t="s">
        <v>40</v>
      </c>
      <c r="R64" s="121" t="s">
        <v>41</v>
      </c>
      <c r="T64" s="120" t="s">
        <v>40</v>
      </c>
      <c r="U64" s="121" t="s">
        <v>41</v>
      </c>
      <c r="W64" s="120" t="s">
        <v>40</v>
      </c>
      <c r="X64" s="121" t="s">
        <v>41</v>
      </c>
      <c r="Z64" s="120" t="s">
        <v>40</v>
      </c>
      <c r="AA64" s="121" t="s">
        <v>41</v>
      </c>
      <c r="AC64" s="120" t="s">
        <v>40</v>
      </c>
      <c r="AD64" s="121" t="s">
        <v>41</v>
      </c>
      <c r="AF64" s="120" t="s">
        <v>40</v>
      </c>
      <c r="AG64" s="121" t="s">
        <v>41</v>
      </c>
      <c r="AI64" s="122" t="s">
        <v>40</v>
      </c>
      <c r="AJ64" s="121" t="s">
        <v>41</v>
      </c>
      <c r="AL64" s="120" t="s">
        <v>40</v>
      </c>
      <c r="AM64" s="121" t="s">
        <v>41</v>
      </c>
      <c r="AO64" s="122" t="s">
        <v>40</v>
      </c>
      <c r="AP64" s="121" t="s">
        <v>41</v>
      </c>
      <c r="AR64" s="120" t="s">
        <v>40</v>
      </c>
      <c r="AS64" s="121" t="s">
        <v>41</v>
      </c>
      <c r="AU64" s="122" t="s">
        <v>40</v>
      </c>
      <c r="AV64" s="121" t="s">
        <v>41</v>
      </c>
      <c r="AX64" s="120" t="s">
        <v>40</v>
      </c>
      <c r="AY64" s="121" t="s">
        <v>41</v>
      </c>
      <c r="BA64" s="122" t="s">
        <v>40</v>
      </c>
      <c r="BB64" s="121" t="s">
        <v>41</v>
      </c>
      <c r="BD64" s="120" t="s">
        <v>40</v>
      </c>
      <c r="BE64" s="121" t="s">
        <v>41</v>
      </c>
    </row>
    <row r="65" spans="1:57" hidden="1" outlineLevel="1" x14ac:dyDescent="0.4">
      <c r="C65" s="56" t="s">
        <v>42</v>
      </c>
      <c r="D65" s="57"/>
      <c r="E65" s="123"/>
      <c r="F65" s="124">
        <v>-0.6</v>
      </c>
      <c r="G65" s="54"/>
      <c r="H65" s="123"/>
      <c r="I65" s="124">
        <v>-0.6</v>
      </c>
      <c r="J65" s="54"/>
      <c r="K65" s="123"/>
      <c r="L65" s="124">
        <v>-0.6</v>
      </c>
      <c r="M65" s="54"/>
      <c r="N65" s="123"/>
      <c r="O65" s="124">
        <v>-0.6</v>
      </c>
      <c r="P65" s="54"/>
      <c r="Q65" s="123"/>
      <c r="R65" s="124">
        <v>-0.6</v>
      </c>
      <c r="S65" s="54"/>
      <c r="T65" s="123"/>
      <c r="U65" s="124">
        <v>-0.6</v>
      </c>
      <c r="V65" s="54"/>
      <c r="W65" s="123"/>
      <c r="X65" s="124">
        <v>-0.6</v>
      </c>
      <c r="Y65" s="54"/>
      <c r="Z65" s="123"/>
      <c r="AA65" s="124">
        <v>-0.6</v>
      </c>
      <c r="AB65" s="54"/>
      <c r="AC65" s="123"/>
      <c r="AD65" s="124">
        <v>-0.6</v>
      </c>
      <c r="AE65" s="54"/>
      <c r="AF65" s="123"/>
      <c r="AG65" s="124">
        <v>-0.6</v>
      </c>
      <c r="AI65" s="125"/>
      <c r="AJ65" s="124">
        <f t="shared" ref="AJ65" si="92">AD65-AV65</f>
        <v>0</v>
      </c>
      <c r="AK65" s="54"/>
      <c r="AL65" s="123"/>
      <c r="AM65" s="124">
        <f t="shared" ref="AM65" si="93">AG65-AY65</f>
        <v>0</v>
      </c>
      <c r="AN65" s="54"/>
      <c r="AO65" s="125"/>
      <c r="AP65" s="124">
        <f>AD65-BB65</f>
        <v>0</v>
      </c>
      <c r="AQ65" s="54"/>
      <c r="AR65" s="123"/>
      <c r="AS65" s="124">
        <f>AG65-BE65</f>
        <v>0</v>
      </c>
      <c r="AU65" s="125"/>
      <c r="AV65" s="124">
        <v>-0.6</v>
      </c>
      <c r="AW65" s="54"/>
      <c r="AX65" s="123"/>
      <c r="AY65" s="124">
        <v>-0.6</v>
      </c>
      <c r="BA65" s="125"/>
      <c r="BB65" s="124">
        <v>-0.6</v>
      </c>
      <c r="BC65" s="54"/>
      <c r="BD65" s="123"/>
      <c r="BE65" s="124">
        <v>-0.6</v>
      </c>
    </row>
    <row r="66" spans="1:57" s="128" customFormat="1" hidden="1" outlineLevel="1" x14ac:dyDescent="0.4">
      <c r="A66" s="126"/>
      <c r="B66" s="127"/>
      <c r="C66" s="56"/>
      <c r="D66" s="57"/>
      <c r="E66" s="123"/>
      <c r="F66" s="70"/>
      <c r="G66" s="72"/>
      <c r="H66" s="123"/>
      <c r="I66" s="70"/>
      <c r="J66" s="72"/>
      <c r="K66" s="123"/>
      <c r="L66" s="70"/>
      <c r="M66" s="72"/>
      <c r="N66" s="123"/>
      <c r="O66" s="70"/>
      <c r="P66" s="72"/>
      <c r="Q66" s="123"/>
      <c r="R66" s="70"/>
      <c r="S66" s="72"/>
      <c r="T66" s="123"/>
      <c r="U66" s="70"/>
      <c r="V66" s="72"/>
      <c r="W66" s="123"/>
      <c r="X66" s="70"/>
      <c r="Y66" s="72"/>
      <c r="Z66" s="123"/>
      <c r="AA66" s="70"/>
      <c r="AB66" s="72"/>
      <c r="AC66" s="123"/>
      <c r="AD66" s="70"/>
      <c r="AE66" s="72"/>
      <c r="AF66" s="123"/>
      <c r="AG66" s="70"/>
      <c r="AI66" s="125"/>
      <c r="AJ66" s="70"/>
      <c r="AK66" s="72"/>
      <c r="AL66" s="123"/>
      <c r="AM66" s="70"/>
      <c r="AN66" s="72"/>
      <c r="AO66" s="125"/>
      <c r="AP66" s="70"/>
      <c r="AQ66" s="72"/>
      <c r="AR66" s="123"/>
      <c r="AS66" s="70"/>
      <c r="AU66" s="125"/>
      <c r="AV66" s="70"/>
      <c r="AW66" s="72"/>
      <c r="AX66" s="123"/>
      <c r="AY66" s="70"/>
      <c r="BA66" s="125"/>
      <c r="BB66" s="70"/>
      <c r="BC66" s="72"/>
      <c r="BD66" s="123"/>
      <c r="BE66" s="70"/>
    </row>
    <row r="67" spans="1:57" hidden="1" outlineLevel="1" x14ac:dyDescent="0.4">
      <c r="C67" s="56" t="s">
        <v>19</v>
      </c>
      <c r="D67" s="57"/>
      <c r="E67" s="129">
        <v>118016.4</v>
      </c>
      <c r="F67" s="112">
        <f>E67*F$65</f>
        <v>-70809.84</v>
      </c>
      <c r="G67" s="54"/>
      <c r="H67" s="129">
        <v>115013.685</v>
      </c>
      <c r="I67" s="112">
        <v>-66930.7</v>
      </c>
      <c r="J67" s="54"/>
      <c r="K67" s="129">
        <v>109652.2</v>
      </c>
      <c r="L67" s="112">
        <v>-63880.02</v>
      </c>
      <c r="M67" s="54"/>
      <c r="N67" s="129">
        <f>K67/L43*O43</f>
        <v>115115.2712107525</v>
      </c>
      <c r="O67" s="112">
        <f>N67*O$65</f>
        <v>-69069.162726451497</v>
      </c>
      <c r="P67" s="54"/>
      <c r="Q67" s="129">
        <f>N67/O43*R43</f>
        <v>108173.41167251767</v>
      </c>
      <c r="R67" s="112">
        <f>Q67*R$65</f>
        <v>-64904.047003510597</v>
      </c>
      <c r="S67" s="54"/>
      <c r="T67" s="129">
        <f>Q67/R43*U43</f>
        <v>110795.85841689903</v>
      </c>
      <c r="U67" s="112">
        <f>T67*U$65</f>
        <v>-66477.515050139424</v>
      </c>
      <c r="V67" s="54"/>
      <c r="W67" s="129">
        <f>T67/U43*X43</f>
        <v>111894.04853174697</v>
      </c>
      <c r="X67" s="112">
        <f>W67*X$65</f>
        <v>-67136.429119048174</v>
      </c>
      <c r="Y67" s="54"/>
      <c r="Z67" s="129">
        <f>W67/X43*AA43</f>
        <v>112563.26847805515</v>
      </c>
      <c r="AA67" s="112">
        <f>Z67*AA$65</f>
        <v>-67537.961086833093</v>
      </c>
      <c r="AB67" s="54"/>
      <c r="AC67" s="129">
        <f>Z67/AA43*AD43</f>
        <v>113344.78568149002</v>
      </c>
      <c r="AD67" s="112">
        <f>AC67*AD$65</f>
        <v>-68006.871408894003</v>
      </c>
      <c r="AE67" s="54"/>
      <c r="AF67" s="129">
        <f>AC67/AD43*AG43</f>
        <v>114266.00958587893</v>
      </c>
      <c r="AG67" s="112">
        <f>AF67*AG$65</f>
        <v>-68559.605751527357</v>
      </c>
      <c r="AI67" s="130">
        <f t="shared" ref="AI67:AJ70" si="94">AC67-AU67</f>
        <v>4874.8326728716347</v>
      </c>
      <c r="AJ67" s="112">
        <f t="shared" si="94"/>
        <v>-2924.8996037229808</v>
      </c>
      <c r="AK67" s="54"/>
      <c r="AL67" s="129">
        <f t="shared" ref="AL67:AM70" si="95">AF67-AX67</f>
        <v>5659.6335249320546</v>
      </c>
      <c r="AM67" s="112">
        <f t="shared" si="95"/>
        <v>-3395.7801149592342</v>
      </c>
      <c r="AN67" s="54"/>
      <c r="AO67" s="130">
        <f t="shared" ref="AO67:AP70" si="96">AC67-BA67</f>
        <v>-1320.6414728391392</v>
      </c>
      <c r="AP67" s="112">
        <f t="shared" si="96"/>
        <v>792.38488370348932</v>
      </c>
      <c r="AQ67" s="54"/>
      <c r="AR67" s="129">
        <f t="shared" ref="AR67:AS70" si="97">AF67-BD67</f>
        <v>-2665.5430108077853</v>
      </c>
      <c r="AS67" s="112">
        <f t="shared" si="97"/>
        <v>1599.3258064846741</v>
      </c>
      <c r="AU67" s="130">
        <v>108469.95300861838</v>
      </c>
      <c r="AV67" s="112">
        <v>-65081.971805171022</v>
      </c>
      <c r="AW67" s="54"/>
      <c r="AX67" s="129">
        <v>108606.37606094687</v>
      </c>
      <c r="AY67" s="112">
        <v>-65163.825636568123</v>
      </c>
      <c r="BA67" s="130">
        <v>114665.42715432915</v>
      </c>
      <c r="BB67" s="112">
        <v>-68799.256292597493</v>
      </c>
      <c r="BC67" s="54"/>
      <c r="BD67" s="129">
        <v>116931.55259668671</v>
      </c>
      <c r="BE67" s="112">
        <v>-70158.931558012031</v>
      </c>
    </row>
    <row r="68" spans="1:57" hidden="1" outlineLevel="1" x14ac:dyDescent="0.4">
      <c r="C68" s="56" t="s">
        <v>20</v>
      </c>
      <c r="D68" s="57"/>
      <c r="E68" s="129">
        <v>165014.40000000002</v>
      </c>
      <c r="F68" s="112">
        <f t="shared" ref="F68:F69" si="98">E68*F$65</f>
        <v>-99008.640000000014</v>
      </c>
      <c r="G68" s="54"/>
      <c r="H68" s="129">
        <v>169395.56499999997</v>
      </c>
      <c r="I68" s="112">
        <v>-102468.29</v>
      </c>
      <c r="J68" s="54"/>
      <c r="K68" s="129">
        <v>172418.9</v>
      </c>
      <c r="L68" s="112">
        <v>-105362.73</v>
      </c>
      <c r="M68" s="54"/>
      <c r="N68" s="129">
        <f t="shared" ref="N68:N69" si="99">K68/L44*O44</f>
        <v>149006.5462221381</v>
      </c>
      <c r="O68" s="112">
        <f t="shared" ref="O68:O69" si="100">N68*O$65</f>
        <v>-89403.927733282864</v>
      </c>
      <c r="P68" s="54"/>
      <c r="Q68" s="129">
        <f t="shared" ref="Q68:Q69" si="101">N68/O44*R44</f>
        <v>174733.21624719797</v>
      </c>
      <c r="R68" s="112">
        <f t="shared" ref="R68:R69" si="102">Q68*R$65</f>
        <v>-104839.92974831878</v>
      </c>
      <c r="S68" s="54"/>
      <c r="T68" s="129">
        <f t="shared" ref="T68:T69" si="103">Q68/R44*U44</f>
        <v>182799.36194517399</v>
      </c>
      <c r="U68" s="112">
        <f t="shared" ref="U68:U69" si="104">T68*U$65</f>
        <v>-109679.6171671044</v>
      </c>
      <c r="V68" s="54"/>
      <c r="W68" s="129">
        <f t="shared" ref="W68:W69" si="105">T68/U44*X44</f>
        <v>182178.42078049609</v>
      </c>
      <c r="X68" s="112">
        <f t="shared" ref="X68:X69" si="106">W68*X$65</f>
        <v>-109307.05246829765</v>
      </c>
      <c r="Y68" s="54"/>
      <c r="Z68" s="129">
        <f t="shared" ref="Z68:Z69" si="107">W68/X44*AA44</f>
        <v>180883.29572115568</v>
      </c>
      <c r="AA68" s="112">
        <f t="shared" ref="AA68:AA69" si="108">Z68*AA$65</f>
        <v>-108529.9774326934</v>
      </c>
      <c r="AB68" s="54"/>
      <c r="AC68" s="129">
        <f t="shared" ref="AC68:AC69" si="109">Z68/AA44*AD44</f>
        <v>179096.45605770536</v>
      </c>
      <c r="AD68" s="112">
        <f t="shared" ref="AD68:AD69" si="110">AC68*AD$65</f>
        <v>-107457.87363462322</v>
      </c>
      <c r="AE68" s="54"/>
      <c r="AF68" s="129">
        <f t="shared" ref="AF68:AF69" si="111">AC68/AD44*AG44</f>
        <v>177388.55082582499</v>
      </c>
      <c r="AG68" s="112">
        <f t="shared" ref="AG68:AG69" si="112">AF68*AG$65</f>
        <v>-106433.13049549499</v>
      </c>
      <c r="AI68" s="130">
        <f t="shared" si="94"/>
        <v>22144.073079200229</v>
      </c>
      <c r="AJ68" s="112">
        <f t="shared" si="94"/>
        <v>-13286.443847520146</v>
      </c>
      <c r="AK68" s="54"/>
      <c r="AL68" s="129">
        <f t="shared" si="95"/>
        <v>19169.198788928334</v>
      </c>
      <c r="AM68" s="112">
        <f t="shared" si="95"/>
        <v>-11501.519273357</v>
      </c>
      <c r="AN68" s="54"/>
      <c r="AO68" s="130">
        <f t="shared" si="96"/>
        <v>-15404.000432254077</v>
      </c>
      <c r="AP68" s="112">
        <f t="shared" si="96"/>
        <v>9242.4002593524492</v>
      </c>
      <c r="AQ68" s="54"/>
      <c r="AR68" s="129">
        <f t="shared" si="97"/>
        <v>-15439.101251831831</v>
      </c>
      <c r="AS68" s="112">
        <f t="shared" si="97"/>
        <v>9263.4607510991045</v>
      </c>
      <c r="AU68" s="130">
        <v>156952.38297850513</v>
      </c>
      <c r="AV68" s="112">
        <v>-94171.429787103072</v>
      </c>
      <c r="AW68" s="54"/>
      <c r="AX68" s="129">
        <v>158219.35203689666</v>
      </c>
      <c r="AY68" s="112">
        <v>-94931.611222137988</v>
      </c>
      <c r="BA68" s="130">
        <v>194500.45648995944</v>
      </c>
      <c r="BB68" s="112">
        <v>-116700.27389397567</v>
      </c>
      <c r="BC68" s="54"/>
      <c r="BD68" s="129">
        <v>192827.65207765682</v>
      </c>
      <c r="BE68" s="112">
        <v>-115696.59124659409</v>
      </c>
    </row>
    <row r="69" spans="1:57" hidden="1" outlineLevel="1" x14ac:dyDescent="0.4">
      <c r="C69" s="56" t="s">
        <v>21</v>
      </c>
      <c r="D69" s="57"/>
      <c r="E69" s="129">
        <v>67203.600000000006</v>
      </c>
      <c r="F69" s="112">
        <f t="shared" si="98"/>
        <v>-40322.160000000003</v>
      </c>
      <c r="G69" s="54"/>
      <c r="H69" s="129">
        <v>90232.72500000002</v>
      </c>
      <c r="I69" s="112">
        <v>-53732.62</v>
      </c>
      <c r="J69" s="54"/>
      <c r="K69" s="129">
        <v>92753.583333333343</v>
      </c>
      <c r="L69" s="112">
        <v>-55652.15</v>
      </c>
      <c r="M69" s="54"/>
      <c r="N69" s="129">
        <f t="shared" si="99"/>
        <v>99132.635407479713</v>
      </c>
      <c r="O69" s="112">
        <f t="shared" si="100"/>
        <v>-59479.581244487825</v>
      </c>
      <c r="P69" s="54"/>
      <c r="Q69" s="129">
        <f t="shared" si="101"/>
        <v>93203.586163430475</v>
      </c>
      <c r="R69" s="112">
        <f t="shared" si="102"/>
        <v>-55922.151698058282</v>
      </c>
      <c r="S69" s="54"/>
      <c r="T69" s="129">
        <f t="shared" si="103"/>
        <v>96450.886709032784</v>
      </c>
      <c r="U69" s="112">
        <f t="shared" si="104"/>
        <v>-57870.53202541967</v>
      </c>
      <c r="V69" s="54"/>
      <c r="W69" s="129">
        <f t="shared" si="105"/>
        <v>96498.434808448525</v>
      </c>
      <c r="X69" s="112">
        <f t="shared" si="106"/>
        <v>-57899.060885069113</v>
      </c>
      <c r="Y69" s="54"/>
      <c r="Z69" s="129">
        <f t="shared" si="107"/>
        <v>96706.285661989226</v>
      </c>
      <c r="AA69" s="112">
        <f t="shared" si="108"/>
        <v>-58023.771397193537</v>
      </c>
      <c r="AB69" s="54"/>
      <c r="AC69" s="129">
        <f t="shared" si="109"/>
        <v>96630.514065954761</v>
      </c>
      <c r="AD69" s="112">
        <f t="shared" si="110"/>
        <v>-57978.308439572858</v>
      </c>
      <c r="AE69" s="54"/>
      <c r="AF69" s="129">
        <f t="shared" si="111"/>
        <v>96207.847895868603</v>
      </c>
      <c r="AG69" s="112">
        <f t="shared" si="112"/>
        <v>-57724.708737521163</v>
      </c>
      <c r="AI69" s="130">
        <f t="shared" si="94"/>
        <v>6141.572867276147</v>
      </c>
      <c r="AJ69" s="112">
        <f t="shared" si="94"/>
        <v>-3684.9437203656926</v>
      </c>
      <c r="AK69" s="54"/>
      <c r="AL69" s="129">
        <f t="shared" si="95"/>
        <v>7837.1895172472141</v>
      </c>
      <c r="AM69" s="112">
        <f t="shared" si="95"/>
        <v>-4702.3137103483314</v>
      </c>
      <c r="AN69" s="54"/>
      <c r="AO69" s="130">
        <f t="shared" si="96"/>
        <v>0</v>
      </c>
      <c r="AP69" s="112">
        <f t="shared" si="96"/>
        <v>0</v>
      </c>
      <c r="AQ69" s="54"/>
      <c r="AR69" s="129">
        <f t="shared" si="97"/>
        <v>0</v>
      </c>
      <c r="AS69" s="112">
        <f t="shared" si="97"/>
        <v>0</v>
      </c>
      <c r="AU69" s="130">
        <v>90488.941198678614</v>
      </c>
      <c r="AV69" s="112">
        <v>-54293.364719207166</v>
      </c>
      <c r="AW69" s="54"/>
      <c r="AX69" s="129">
        <v>88370.658378621389</v>
      </c>
      <c r="AY69" s="112">
        <v>-53022.395027172832</v>
      </c>
      <c r="BA69" s="130">
        <v>96630.514065954761</v>
      </c>
      <c r="BB69" s="112">
        <v>-57978.308439572858</v>
      </c>
      <c r="BC69" s="54"/>
      <c r="BD69" s="129">
        <v>96207.847895868603</v>
      </c>
      <c r="BE69" s="112">
        <v>-57724.708737521163</v>
      </c>
    </row>
    <row r="70" spans="1:57" hidden="1" outlineLevel="1" x14ac:dyDescent="0.4">
      <c r="C70" s="64" t="s">
        <v>25</v>
      </c>
      <c r="D70" s="65"/>
      <c r="E70" s="131">
        <f>SUM(E67:E69)</f>
        <v>350234.4</v>
      </c>
      <c r="F70" s="66">
        <f>SUM(F67:F69)</f>
        <v>-210140.64</v>
      </c>
      <c r="G70" s="132"/>
      <c r="H70" s="131">
        <f>SUM(H67:H69)</f>
        <v>374641.97500000003</v>
      </c>
      <c r="I70" s="66">
        <f>SUM(I67:I69)</f>
        <v>-223131.61</v>
      </c>
      <c r="J70" s="132"/>
      <c r="K70" s="131">
        <f>SUM(K67:K69)</f>
        <v>374824.68333333335</v>
      </c>
      <c r="L70" s="66">
        <f>SUM(L67:L69)</f>
        <v>-224894.9</v>
      </c>
      <c r="M70" s="132"/>
      <c r="N70" s="131">
        <f>SUM(N67:N69)</f>
        <v>363254.4528403703</v>
      </c>
      <c r="O70" s="66">
        <f>SUM(O67:O69)</f>
        <v>-217952.67170422222</v>
      </c>
      <c r="P70" s="132"/>
      <c r="Q70" s="131">
        <f>SUM(Q67:Q69)</f>
        <v>376110.21408314613</v>
      </c>
      <c r="R70" s="66">
        <f>SUM(R67:R69)</f>
        <v>-225666.12844988768</v>
      </c>
      <c r="S70" s="132"/>
      <c r="T70" s="131">
        <f>SUM(T67:T69)</f>
        <v>390046.10707110586</v>
      </c>
      <c r="U70" s="66">
        <f>SUM(U67:U69)</f>
        <v>-234027.66424266351</v>
      </c>
      <c r="V70" s="132"/>
      <c r="W70" s="131">
        <f>SUM(W67:W69)</f>
        <v>390570.90412069159</v>
      </c>
      <c r="X70" s="66">
        <f>SUM(X67:X69)</f>
        <v>-234342.54247241493</v>
      </c>
      <c r="Y70" s="132"/>
      <c r="Z70" s="131">
        <f>SUM(Z67:Z69)</f>
        <v>390152.84986120008</v>
      </c>
      <c r="AA70" s="66">
        <f>SUM(AA67:AA69)</f>
        <v>-234091.70991672005</v>
      </c>
      <c r="AB70" s="132"/>
      <c r="AC70" s="131">
        <f>SUM(AC67:AC69)</f>
        <v>389071.75580515014</v>
      </c>
      <c r="AD70" s="66">
        <f>SUM(AD67:AD69)</f>
        <v>-233443.05348309007</v>
      </c>
      <c r="AE70" s="132"/>
      <c r="AF70" s="131">
        <f>SUM(AF67:AF69)</f>
        <v>387862.40830757248</v>
      </c>
      <c r="AG70" s="66">
        <f>SUM(AG67:AG69)</f>
        <v>-232717.44498454352</v>
      </c>
      <c r="AI70" s="133">
        <f t="shared" si="94"/>
        <v>33160.478619347967</v>
      </c>
      <c r="AJ70" s="66">
        <f t="shared" si="94"/>
        <v>-19896.287171608827</v>
      </c>
      <c r="AK70" s="132"/>
      <c r="AL70" s="131">
        <f t="shared" si="95"/>
        <v>32666.021831107559</v>
      </c>
      <c r="AM70" s="66">
        <f t="shared" si="95"/>
        <v>-19599.613098664558</v>
      </c>
      <c r="AN70" s="132"/>
      <c r="AO70" s="133">
        <f t="shared" si="96"/>
        <v>-16724.641905093216</v>
      </c>
      <c r="AP70" s="66">
        <f t="shared" si="96"/>
        <v>10034.785143055953</v>
      </c>
      <c r="AQ70" s="132"/>
      <c r="AR70" s="131">
        <f t="shared" si="97"/>
        <v>-18104.644262639631</v>
      </c>
      <c r="AS70" s="66">
        <f t="shared" si="97"/>
        <v>10862.786557583779</v>
      </c>
      <c r="AU70" s="133">
        <v>355911.27718580217</v>
      </c>
      <c r="AV70" s="66">
        <v>-213546.76631148125</v>
      </c>
      <c r="AW70" s="132"/>
      <c r="AX70" s="131">
        <v>355196.38647646492</v>
      </c>
      <c r="AY70" s="66">
        <v>-213117.83188587896</v>
      </c>
      <c r="BA70" s="133">
        <v>405796.39771024336</v>
      </c>
      <c r="BB70" s="66">
        <v>-243477.83862614603</v>
      </c>
      <c r="BC70" s="132"/>
      <c r="BD70" s="131">
        <v>405967.05257021211</v>
      </c>
      <c r="BE70" s="66">
        <v>-243580.23154212729</v>
      </c>
    </row>
    <row r="71" spans="1:57" hidden="1" outlineLevel="1" x14ac:dyDescent="0.4">
      <c r="C71" s="39"/>
      <c r="D71" s="39"/>
      <c r="E71" s="52"/>
      <c r="F71" s="53"/>
      <c r="G71" s="54"/>
      <c r="H71" s="20"/>
      <c r="I71" s="53"/>
      <c r="J71" s="54"/>
      <c r="K71" s="20"/>
      <c r="L71" s="53"/>
      <c r="M71" s="54"/>
      <c r="N71" s="20"/>
      <c r="O71" s="70"/>
      <c r="P71" s="54"/>
      <c r="Q71" s="20"/>
      <c r="R71" s="70"/>
      <c r="S71" s="54"/>
      <c r="T71" s="20"/>
      <c r="U71" s="53"/>
      <c r="V71" s="54"/>
      <c r="W71" s="20"/>
      <c r="X71" s="53"/>
      <c r="Y71" s="54"/>
      <c r="Z71" s="20"/>
      <c r="AA71" s="53"/>
      <c r="AB71" s="54"/>
      <c r="AC71" s="20"/>
      <c r="AD71" s="53"/>
      <c r="AE71" s="54"/>
      <c r="AF71" s="20"/>
      <c r="AG71" s="53"/>
      <c r="AI71" s="69"/>
      <c r="AJ71" s="53"/>
      <c r="AK71" s="54"/>
      <c r="AL71" s="20"/>
      <c r="AM71" s="53"/>
      <c r="AN71" s="54"/>
      <c r="AO71" s="69"/>
      <c r="AP71" s="53"/>
      <c r="AQ71" s="54"/>
      <c r="AR71" s="20"/>
      <c r="AS71" s="53"/>
      <c r="AU71" s="69"/>
      <c r="AV71" s="53"/>
      <c r="AW71" s="54"/>
      <c r="AX71" s="20"/>
      <c r="AY71" s="53"/>
      <c r="BA71" s="69"/>
      <c r="BB71" s="53"/>
      <c r="BC71" s="54"/>
      <c r="BD71" s="20"/>
      <c r="BE71" s="53"/>
    </row>
    <row r="72" spans="1:57" ht="5.0999999999999996" hidden="1" customHeight="1" outlineLevel="1" x14ac:dyDescent="0.4">
      <c r="F72" s="104"/>
      <c r="I72" s="104"/>
      <c r="L72" s="104"/>
      <c r="O72" s="104"/>
      <c r="R72" s="104"/>
      <c r="U72" s="104"/>
      <c r="X72" s="104"/>
      <c r="AA72" s="104"/>
      <c r="AD72" s="104"/>
      <c r="AG72" s="104"/>
      <c r="AI72" s="22"/>
      <c r="AJ72" s="104"/>
      <c r="AM72" s="104"/>
      <c r="AO72" s="22"/>
      <c r="AP72" s="104"/>
      <c r="AS72" s="104"/>
      <c r="AU72" s="22"/>
      <c r="AV72" s="104"/>
      <c r="AY72" s="104"/>
      <c r="BA72" s="22"/>
      <c r="BB72" s="104"/>
      <c r="BE72" s="104"/>
    </row>
    <row r="73" spans="1:57" hidden="1" outlineLevel="1" x14ac:dyDescent="0.4">
      <c r="B73" s="103" t="s">
        <v>43</v>
      </c>
      <c r="F73" s="104"/>
      <c r="I73" s="104"/>
      <c r="L73" s="104"/>
      <c r="O73" s="104"/>
      <c r="R73" s="104"/>
      <c r="U73" s="104"/>
      <c r="X73" s="104"/>
      <c r="AA73" s="104"/>
      <c r="AD73" s="104"/>
      <c r="AG73" s="104"/>
      <c r="AI73" s="22"/>
      <c r="AJ73" s="104"/>
      <c r="AM73" s="104"/>
      <c r="AO73" s="22"/>
      <c r="AP73" s="104"/>
      <c r="AS73" s="104"/>
      <c r="AU73" s="22"/>
      <c r="AV73" s="104"/>
      <c r="AY73" s="104"/>
      <c r="BA73" s="22"/>
      <c r="BB73" s="104"/>
      <c r="BE73" s="104"/>
    </row>
    <row r="74" spans="1:57" hidden="1" outlineLevel="1" x14ac:dyDescent="0.4">
      <c r="B74" s="8"/>
      <c r="C74" s="134" t="s">
        <v>44</v>
      </c>
      <c r="D74" s="135"/>
      <c r="F74" s="104"/>
      <c r="I74" s="104"/>
      <c r="L74" s="104"/>
      <c r="O74" s="104"/>
      <c r="R74" s="104"/>
      <c r="U74" s="104"/>
      <c r="X74" s="104"/>
      <c r="AA74" s="104"/>
      <c r="AD74" s="104"/>
      <c r="AG74" s="104"/>
      <c r="AI74" s="22"/>
      <c r="AJ74" s="104"/>
      <c r="AM74" s="104"/>
      <c r="AO74" s="22"/>
      <c r="AP74" s="104"/>
      <c r="AS74" s="104"/>
      <c r="AU74" s="22"/>
      <c r="AV74" s="104"/>
      <c r="AY74" s="104"/>
      <c r="BA74" s="22"/>
      <c r="BB74" s="104"/>
      <c r="BE74" s="104"/>
    </row>
    <row r="75" spans="1:57" hidden="1" outlineLevel="1" x14ac:dyDescent="0.4">
      <c r="C75" s="56" t="s">
        <v>17</v>
      </c>
      <c r="D75" s="57"/>
      <c r="E75" s="136">
        <v>0</v>
      </c>
      <c r="F75" s="112">
        <f t="shared" ref="F75:F82" si="113">E75+F54</f>
        <v>10753667.621969853</v>
      </c>
      <c r="G75" s="54"/>
      <c r="H75" s="136">
        <v>0</v>
      </c>
      <c r="I75" s="112">
        <f t="shared" ref="I75:I82" si="114">H75+I54</f>
        <v>10500774.33</v>
      </c>
      <c r="J75" s="54"/>
      <c r="K75" s="136">
        <v>0</v>
      </c>
      <c r="L75" s="112">
        <f t="shared" ref="L75:L82" si="115">K75+L54</f>
        <v>10563015.060000001</v>
      </c>
      <c r="M75" s="54"/>
      <c r="N75" s="136">
        <v>0</v>
      </c>
      <c r="O75" s="112">
        <f t="shared" ref="O75:O82" si="116">N75+O54</f>
        <v>10728223.447996454</v>
      </c>
      <c r="P75" s="54"/>
      <c r="Q75" s="136">
        <v>0</v>
      </c>
      <c r="R75" s="112">
        <f t="shared" ref="R75:R82" si="117">Q75+R54</f>
        <v>10728223.447996454</v>
      </c>
      <c r="S75" s="54"/>
      <c r="T75" s="136">
        <v>0</v>
      </c>
      <c r="U75" s="112">
        <f t="shared" ref="U75:U82" si="118">T75+U54</f>
        <v>12845602.564414073</v>
      </c>
      <c r="V75" s="54"/>
      <c r="W75" s="136">
        <v>0</v>
      </c>
      <c r="X75" s="112">
        <f t="shared" ref="X75:X82" si="119">W75+X54</f>
        <v>13924495.074321082</v>
      </c>
      <c r="Y75" s="54"/>
      <c r="Z75" s="136">
        <v>0</v>
      </c>
      <c r="AA75" s="112">
        <f t="shared" ref="AA75:AA82" si="120">Z75+AA54</f>
        <v>14340917.971369425</v>
      </c>
      <c r="AB75" s="54"/>
      <c r="AC75" s="136">
        <v>0</v>
      </c>
      <c r="AD75" s="112">
        <f t="shared" ref="AD75:AD82" si="121">AC75+AD54</f>
        <v>15011111.286847861</v>
      </c>
      <c r="AE75" s="54"/>
      <c r="AF75" s="136">
        <v>0</v>
      </c>
      <c r="AG75" s="112">
        <f t="shared" ref="AG75:AG82" si="122">AF75+AG54</f>
        <v>15847833.000959201</v>
      </c>
      <c r="AI75" s="137">
        <f>AJ75/AV75</f>
        <v>4.5822613317616665E-3</v>
      </c>
      <c r="AJ75" s="112">
        <f t="shared" ref="AJ75:AJ83" si="123">AD75-AV75</f>
        <v>68471.082403253764</v>
      </c>
      <c r="AK75" s="54"/>
      <c r="AL75" s="138">
        <f>AM75/AY75</f>
        <v>5.6915597848273426E-3</v>
      </c>
      <c r="AM75" s="112">
        <f t="shared" ref="AM75:AM83" si="124">AG75-AY75</f>
        <v>89688.421969274059</v>
      </c>
      <c r="AN75" s="54"/>
      <c r="AO75" s="139">
        <f t="shared" ref="AO75:AP83" si="125">AC75-BA75</f>
        <v>0</v>
      </c>
      <c r="AP75" s="112">
        <f t="shared" si="125"/>
        <v>-507168.12247136422</v>
      </c>
      <c r="AQ75" s="54"/>
      <c r="AR75" s="136">
        <f t="shared" ref="AR75:AS83" si="126">AF75-BD75</f>
        <v>0</v>
      </c>
      <c r="AS75" s="112">
        <f t="shared" si="126"/>
        <v>-618719.2846365124</v>
      </c>
      <c r="AU75" s="139">
        <v>0</v>
      </c>
      <c r="AV75" s="112">
        <v>14942640.204444608</v>
      </c>
      <c r="AW75" s="54"/>
      <c r="AX75" s="136">
        <v>0</v>
      </c>
      <c r="AY75" s="112">
        <v>15758144.578989927</v>
      </c>
      <c r="BA75" s="139">
        <v>0</v>
      </c>
      <c r="BB75" s="112">
        <v>15518279.409319226</v>
      </c>
      <c r="BC75" s="54"/>
      <c r="BD75" s="136">
        <v>0</v>
      </c>
      <c r="BE75" s="112">
        <v>16466552.285595713</v>
      </c>
    </row>
    <row r="76" spans="1:57" hidden="1" outlineLevel="1" x14ac:dyDescent="0.4">
      <c r="C76" s="56" t="s">
        <v>18</v>
      </c>
      <c r="D76" s="57"/>
      <c r="E76" s="136">
        <v>0</v>
      </c>
      <c r="F76" s="112">
        <f t="shared" si="113"/>
        <v>2575166.1724577588</v>
      </c>
      <c r="G76" s="54"/>
      <c r="H76" s="136">
        <v>0</v>
      </c>
      <c r="I76" s="112">
        <f t="shared" si="114"/>
        <v>2613204.7999999998</v>
      </c>
      <c r="J76" s="54"/>
      <c r="K76" s="136">
        <v>0</v>
      </c>
      <c r="L76" s="112">
        <f t="shared" si="115"/>
        <v>2610463.3800000004</v>
      </c>
      <c r="M76" s="54"/>
      <c r="N76" s="136">
        <v>0</v>
      </c>
      <c r="O76" s="112">
        <f t="shared" si="116"/>
        <v>2641120.1405172981</v>
      </c>
      <c r="P76" s="54"/>
      <c r="Q76" s="136">
        <v>0</v>
      </c>
      <c r="R76" s="112">
        <f t="shared" si="117"/>
        <v>2641120.1405172981</v>
      </c>
      <c r="S76" s="54"/>
      <c r="T76" s="136">
        <v>0</v>
      </c>
      <c r="U76" s="112">
        <f t="shared" si="118"/>
        <v>2706175.1260523773</v>
      </c>
      <c r="V76" s="54"/>
      <c r="W76" s="136">
        <v>0</v>
      </c>
      <c r="X76" s="112">
        <f t="shared" si="119"/>
        <v>2892921.1850290713</v>
      </c>
      <c r="Y76" s="54"/>
      <c r="Z76" s="136">
        <v>0</v>
      </c>
      <c r="AA76" s="112">
        <f t="shared" si="120"/>
        <v>2976190.8135891771</v>
      </c>
      <c r="AB76" s="54"/>
      <c r="AC76" s="136">
        <v>0</v>
      </c>
      <c r="AD76" s="112">
        <f t="shared" si="121"/>
        <v>3102430.7954236181</v>
      </c>
      <c r="AE76" s="54"/>
      <c r="AF76" s="136">
        <v>0</v>
      </c>
      <c r="AG76" s="112">
        <f t="shared" si="122"/>
        <v>3249235.3527013133</v>
      </c>
      <c r="AI76" s="137">
        <f t="shared" ref="AI76:AI83" si="127">AJ76/AV76</f>
        <v>2.8957639646052535E-2</v>
      </c>
      <c r="AJ76" s="112">
        <f t="shared" si="123"/>
        <v>87310.759490154218</v>
      </c>
      <c r="AK76" s="54"/>
      <c r="AL76" s="138">
        <f t="shared" ref="AL76:AL83" si="128">AM76/AY76</f>
        <v>3.2922825715343045E-2</v>
      </c>
      <c r="AM76" s="112">
        <f t="shared" si="124"/>
        <v>103564.37728155777</v>
      </c>
      <c r="AN76" s="54"/>
      <c r="AO76" s="139">
        <f t="shared" si="125"/>
        <v>0</v>
      </c>
      <c r="AP76" s="112">
        <f t="shared" si="125"/>
        <v>-106378.34340342181</v>
      </c>
      <c r="AQ76" s="54"/>
      <c r="AR76" s="136">
        <f t="shared" si="126"/>
        <v>0</v>
      </c>
      <c r="AS76" s="112">
        <f t="shared" si="126"/>
        <v>-128531.9713915051</v>
      </c>
      <c r="AU76" s="139">
        <v>0</v>
      </c>
      <c r="AV76" s="112">
        <v>3015120.0359334638</v>
      </c>
      <c r="AW76" s="54"/>
      <c r="AX76" s="136">
        <v>0</v>
      </c>
      <c r="AY76" s="112">
        <v>3145670.9754197556</v>
      </c>
      <c r="BA76" s="139">
        <v>0</v>
      </c>
      <c r="BB76" s="112">
        <v>3208809.1388270399</v>
      </c>
      <c r="BC76" s="54"/>
      <c r="BD76" s="136">
        <v>0</v>
      </c>
      <c r="BE76" s="112">
        <v>3377767.3240928184</v>
      </c>
    </row>
    <row r="77" spans="1:57" hidden="1" outlineLevel="1" x14ac:dyDescent="0.4">
      <c r="C77" s="56" t="s">
        <v>19</v>
      </c>
      <c r="D77" s="57"/>
      <c r="E77" s="129">
        <f>-F67</f>
        <v>70809.84</v>
      </c>
      <c r="F77" s="112">
        <f t="shared" si="113"/>
        <v>3576603.1989264283</v>
      </c>
      <c r="G77" s="54"/>
      <c r="H77" s="129">
        <f>-I67</f>
        <v>66930.7</v>
      </c>
      <c r="I77" s="112">
        <f t="shared" si="114"/>
        <v>3277865.73</v>
      </c>
      <c r="J77" s="54"/>
      <c r="K77" s="129">
        <f>-L67</f>
        <v>63880.02</v>
      </c>
      <c r="L77" s="112">
        <f t="shared" si="115"/>
        <v>3338685.6300000004</v>
      </c>
      <c r="M77" s="54"/>
      <c r="N77" s="129">
        <f>-O67</f>
        <v>69069.162726451497</v>
      </c>
      <c r="O77" s="112">
        <f t="shared" si="116"/>
        <v>3371004.1031311494</v>
      </c>
      <c r="P77" s="54"/>
      <c r="Q77" s="129">
        <f>-R67</f>
        <v>64904.047003510597</v>
      </c>
      <c r="R77" s="112">
        <f t="shared" si="117"/>
        <v>3366838.9874082082</v>
      </c>
      <c r="S77" s="54"/>
      <c r="T77" s="129">
        <f>-U67</f>
        <v>66477.515050139424</v>
      </c>
      <c r="U77" s="112">
        <f t="shared" si="118"/>
        <v>3861171.4122492662</v>
      </c>
      <c r="V77" s="54"/>
      <c r="W77" s="129">
        <f>-X67</f>
        <v>67136.429119048174</v>
      </c>
      <c r="X77" s="112">
        <f t="shared" si="119"/>
        <v>4171760.9010638632</v>
      </c>
      <c r="Y77" s="54"/>
      <c r="Z77" s="129">
        <f>-AA67</f>
        <v>67537.961086833093</v>
      </c>
      <c r="AA77" s="112">
        <f t="shared" si="120"/>
        <v>4288991.582969184</v>
      </c>
      <c r="AB77" s="54"/>
      <c r="AC77" s="129">
        <f>-AD67</f>
        <v>68006.871408894003</v>
      </c>
      <c r="AD77" s="112">
        <f t="shared" si="121"/>
        <v>4468512.425540329</v>
      </c>
      <c r="AE77" s="54"/>
      <c r="AF77" s="129">
        <f>-AG67</f>
        <v>68559.605751527357</v>
      </c>
      <c r="AG77" s="112">
        <f t="shared" si="122"/>
        <v>4686334.9934159778</v>
      </c>
      <c r="AI77" s="137">
        <f t="shared" si="127"/>
        <v>4.0047754326412117E-2</v>
      </c>
      <c r="AJ77" s="112">
        <f t="shared" si="123"/>
        <v>172063.14525284339</v>
      </c>
      <c r="AK77" s="54"/>
      <c r="AL77" s="138">
        <f t="shared" si="128"/>
        <v>4.5716701120128482E-2</v>
      </c>
      <c r="AM77" s="112">
        <f t="shared" si="124"/>
        <v>204877.45487215463</v>
      </c>
      <c r="AN77" s="54"/>
      <c r="AO77" s="130">
        <f t="shared" si="125"/>
        <v>-792.38488370348932</v>
      </c>
      <c r="AP77" s="112">
        <f t="shared" si="125"/>
        <v>-154493.29980673082</v>
      </c>
      <c r="AQ77" s="54"/>
      <c r="AR77" s="129">
        <f t="shared" si="126"/>
        <v>-1599.3258064846741</v>
      </c>
      <c r="AS77" s="112">
        <f t="shared" si="126"/>
        <v>-184978.27125114202</v>
      </c>
      <c r="AU77" s="130">
        <v>65081.971805171022</v>
      </c>
      <c r="AV77" s="112">
        <v>4296449.2802874856</v>
      </c>
      <c r="AW77" s="54"/>
      <c r="AX77" s="129">
        <v>65163.825636568123</v>
      </c>
      <c r="AY77" s="112">
        <v>4481457.5385438232</v>
      </c>
      <c r="BA77" s="130">
        <v>68799.256292597493</v>
      </c>
      <c r="BB77" s="112">
        <v>4623005.7253470598</v>
      </c>
      <c r="BC77" s="54"/>
      <c r="BD77" s="129">
        <v>70158.931558012031</v>
      </c>
      <c r="BE77" s="112">
        <v>4871313.2646671198</v>
      </c>
    </row>
    <row r="78" spans="1:57" hidden="1" outlineLevel="1" x14ac:dyDescent="0.4">
      <c r="C78" s="56" t="s">
        <v>20</v>
      </c>
      <c r="D78" s="57"/>
      <c r="E78" s="129">
        <f t="shared" ref="E78:E79" si="129">-F68</f>
        <v>99008.640000000014</v>
      </c>
      <c r="F78" s="112">
        <f t="shared" si="113"/>
        <v>564951.38442779449</v>
      </c>
      <c r="G78" s="54"/>
      <c r="H78" s="129">
        <f t="shared" ref="H78:H79" si="130">-I68</f>
        <v>102468.29</v>
      </c>
      <c r="I78" s="112">
        <f t="shared" si="114"/>
        <v>645260.57000000007</v>
      </c>
      <c r="J78" s="54"/>
      <c r="K78" s="129">
        <f t="shared" ref="K78:K79" si="131">-L68</f>
        <v>105362.73</v>
      </c>
      <c r="L78" s="112">
        <f t="shared" si="115"/>
        <v>675564.7</v>
      </c>
      <c r="M78" s="54"/>
      <c r="N78" s="129">
        <f t="shared" ref="N78:N79" si="132">-O68</f>
        <v>89403.927733282864</v>
      </c>
      <c r="O78" s="112">
        <f t="shared" si="116"/>
        <v>625233.2246122465</v>
      </c>
      <c r="P78" s="54"/>
      <c r="Q78" s="129">
        <f t="shared" ref="Q78:Q79" si="133">-R68</f>
        <v>104839.92974831878</v>
      </c>
      <c r="R78" s="112">
        <f t="shared" si="117"/>
        <v>640669.22662728233</v>
      </c>
      <c r="S78" s="54"/>
      <c r="T78" s="129">
        <f t="shared" ref="T78:T79" si="134">-U68</f>
        <v>109679.6171671044</v>
      </c>
      <c r="U78" s="112">
        <f t="shared" si="118"/>
        <v>589957.35948238824</v>
      </c>
      <c r="V78" s="54"/>
      <c r="W78" s="129">
        <f t="shared" ref="W78:W79" si="135">-X68</f>
        <v>109307.05246829765</v>
      </c>
      <c r="X78" s="112">
        <f t="shared" si="119"/>
        <v>622303.33260778675</v>
      </c>
      <c r="Y78" s="54"/>
      <c r="Z78" s="129">
        <f t="shared" ref="Z78:Z79" si="136">-AA68</f>
        <v>108529.9774326934</v>
      </c>
      <c r="AA78" s="112">
        <f t="shared" si="120"/>
        <v>630036.063082846</v>
      </c>
      <c r="AB78" s="54"/>
      <c r="AC78" s="129">
        <f t="shared" ref="AC78:AC79" si="137">-AD68</f>
        <v>107457.87363462322</v>
      </c>
      <c r="AD78" s="112">
        <f t="shared" si="121"/>
        <v>643151.23915923084</v>
      </c>
      <c r="AE78" s="54"/>
      <c r="AF78" s="129">
        <f t="shared" ref="AF78:AF79" si="138">-AG68</f>
        <v>106433.13049549499</v>
      </c>
      <c r="AG78" s="112">
        <f t="shared" si="122"/>
        <v>659925.39766979823</v>
      </c>
      <c r="AI78" s="137">
        <f t="shared" si="127"/>
        <v>6.8268566572574158E-2</v>
      </c>
      <c r="AJ78" s="112">
        <f t="shared" si="123"/>
        <v>41101.100004885928</v>
      </c>
      <c r="AK78" s="54"/>
      <c r="AL78" s="138">
        <f t="shared" si="128"/>
        <v>2.9780415251208125E-2</v>
      </c>
      <c r="AM78" s="112">
        <f t="shared" si="124"/>
        <v>19084.507809979143</v>
      </c>
      <c r="AN78" s="54"/>
      <c r="AO78" s="130">
        <f t="shared" si="125"/>
        <v>-9242.4002593524492</v>
      </c>
      <c r="AP78" s="112">
        <f t="shared" si="125"/>
        <v>-68263.255917363102</v>
      </c>
      <c r="AQ78" s="54"/>
      <c r="AR78" s="129">
        <f t="shared" si="126"/>
        <v>-9263.4607510991045</v>
      </c>
      <c r="AS78" s="112">
        <f t="shared" si="126"/>
        <v>-66455.894053888274</v>
      </c>
      <c r="AU78" s="130">
        <v>94171.429787103072</v>
      </c>
      <c r="AV78" s="112">
        <v>602050.13915434491</v>
      </c>
      <c r="AW78" s="54"/>
      <c r="AX78" s="129">
        <v>94931.611222137988</v>
      </c>
      <c r="AY78" s="112">
        <v>640840.88985981909</v>
      </c>
      <c r="BA78" s="130">
        <v>116700.27389397567</v>
      </c>
      <c r="BB78" s="112">
        <v>711414.49507659394</v>
      </c>
      <c r="BC78" s="54"/>
      <c r="BD78" s="129">
        <v>115696.59124659409</v>
      </c>
      <c r="BE78" s="112">
        <v>726381.2917236865</v>
      </c>
    </row>
    <row r="79" spans="1:57" hidden="1" outlineLevel="1" x14ac:dyDescent="0.4">
      <c r="C79" s="56" t="s">
        <v>21</v>
      </c>
      <c r="D79" s="57"/>
      <c r="E79" s="129">
        <f t="shared" si="129"/>
        <v>40322.160000000003</v>
      </c>
      <c r="F79" s="112">
        <f t="shared" si="113"/>
        <v>237869.42524426189</v>
      </c>
      <c r="G79" s="54"/>
      <c r="H79" s="129">
        <f t="shared" si="130"/>
        <v>53732.62</v>
      </c>
      <c r="I79" s="112">
        <f t="shared" si="114"/>
        <v>280426.73</v>
      </c>
      <c r="J79" s="54"/>
      <c r="K79" s="129">
        <f t="shared" si="131"/>
        <v>55652.15</v>
      </c>
      <c r="L79" s="112">
        <f t="shared" si="115"/>
        <v>288282.27</v>
      </c>
      <c r="M79" s="54"/>
      <c r="N79" s="129">
        <f t="shared" si="132"/>
        <v>59479.581244487825</v>
      </c>
      <c r="O79" s="112">
        <f t="shared" si="116"/>
        <v>296808.06063101051</v>
      </c>
      <c r="P79" s="54"/>
      <c r="Q79" s="129">
        <f t="shared" si="133"/>
        <v>55922.151698058282</v>
      </c>
      <c r="R79" s="112">
        <f t="shared" si="117"/>
        <v>293250.63108458096</v>
      </c>
      <c r="S79" s="54"/>
      <c r="T79" s="129">
        <f t="shared" si="134"/>
        <v>57870.53202541967</v>
      </c>
      <c r="U79" s="112">
        <f t="shared" si="118"/>
        <v>284006.07135640224</v>
      </c>
      <c r="V79" s="54"/>
      <c r="W79" s="129">
        <f t="shared" si="135"/>
        <v>57899.060885069113</v>
      </c>
      <c r="X79" s="112">
        <f t="shared" si="119"/>
        <v>299591.41632320324</v>
      </c>
      <c r="Y79" s="54"/>
      <c r="Z79" s="129">
        <f t="shared" si="136"/>
        <v>58023.771397193537</v>
      </c>
      <c r="AA79" s="112">
        <f t="shared" si="120"/>
        <v>305255.42205716262</v>
      </c>
      <c r="AB79" s="54"/>
      <c r="AC79" s="129">
        <f t="shared" si="137"/>
        <v>57978.308439572858</v>
      </c>
      <c r="AD79" s="112">
        <f t="shared" si="121"/>
        <v>313564.69069864682</v>
      </c>
      <c r="AE79" s="54"/>
      <c r="AF79" s="129">
        <f t="shared" si="138"/>
        <v>57724.708737521163</v>
      </c>
      <c r="AG79" s="112">
        <f t="shared" si="122"/>
        <v>322867.34048579651</v>
      </c>
      <c r="AI79" s="137">
        <f t="shared" si="127"/>
        <v>4.2117884675569282E-2</v>
      </c>
      <c r="AJ79" s="112">
        <f t="shared" si="123"/>
        <v>12672.924700152944</v>
      </c>
      <c r="AK79" s="54"/>
      <c r="AL79" s="138">
        <f t="shared" si="128"/>
        <v>5.4100980248966736E-2</v>
      </c>
      <c r="AM79" s="112">
        <f t="shared" si="124"/>
        <v>16570.935743303155</v>
      </c>
      <c r="AN79" s="54"/>
      <c r="AO79" s="130">
        <f t="shared" si="125"/>
        <v>0</v>
      </c>
      <c r="AP79" s="112">
        <f t="shared" si="125"/>
        <v>-5888.3523475844995</v>
      </c>
      <c r="AQ79" s="54"/>
      <c r="AR79" s="129">
        <f t="shared" si="126"/>
        <v>0</v>
      </c>
      <c r="AS79" s="112">
        <f t="shared" si="126"/>
        <v>-4261.96891154896</v>
      </c>
      <c r="AU79" s="130">
        <v>54293.364719207166</v>
      </c>
      <c r="AV79" s="112">
        <v>300891.76599849388</v>
      </c>
      <c r="AW79" s="54"/>
      <c r="AX79" s="129">
        <v>53022.395027172832</v>
      </c>
      <c r="AY79" s="112">
        <v>306296.40474249335</v>
      </c>
      <c r="BA79" s="130">
        <v>57978.308439572858</v>
      </c>
      <c r="BB79" s="112">
        <v>319453.04304623132</v>
      </c>
      <c r="BC79" s="54"/>
      <c r="BD79" s="129">
        <v>57724.708737521163</v>
      </c>
      <c r="BE79" s="112">
        <v>327129.30939734547</v>
      </c>
    </row>
    <row r="80" spans="1:57" hidden="1" outlineLevel="1" x14ac:dyDescent="0.4">
      <c r="C80" s="56" t="s">
        <v>22</v>
      </c>
      <c r="D80" s="57"/>
      <c r="E80" s="129">
        <v>0</v>
      </c>
      <c r="F80" s="112">
        <f t="shared" si="113"/>
        <v>696348.83311384264</v>
      </c>
      <c r="G80" s="54"/>
      <c r="H80" s="129">
        <v>0</v>
      </c>
      <c r="I80" s="112">
        <f t="shared" si="114"/>
        <v>670252.44999999995</v>
      </c>
      <c r="J80" s="54"/>
      <c r="K80" s="129">
        <v>0</v>
      </c>
      <c r="L80" s="112">
        <f t="shared" si="115"/>
        <v>626148.30000000005</v>
      </c>
      <c r="M80" s="54"/>
      <c r="N80" s="129">
        <v>0</v>
      </c>
      <c r="O80" s="112">
        <f t="shared" si="116"/>
        <v>620071.90720000002</v>
      </c>
      <c r="P80" s="54"/>
      <c r="Q80" s="129">
        <v>0</v>
      </c>
      <c r="R80" s="112">
        <f t="shared" si="117"/>
        <v>620071.90720000002</v>
      </c>
      <c r="S80" s="54"/>
      <c r="T80" s="129">
        <v>0</v>
      </c>
      <c r="U80" s="112">
        <f t="shared" si="118"/>
        <v>861202.34649725759</v>
      </c>
      <c r="V80" s="54"/>
      <c r="W80" s="129">
        <v>0</v>
      </c>
      <c r="X80" s="112">
        <f t="shared" si="119"/>
        <v>697028.28222075454</v>
      </c>
      <c r="Y80" s="54"/>
      <c r="Z80" s="129">
        <v>0</v>
      </c>
      <c r="AA80" s="112">
        <f t="shared" si="120"/>
        <v>705995.8796053679</v>
      </c>
      <c r="AB80" s="54"/>
      <c r="AC80" s="129">
        <v>0</v>
      </c>
      <c r="AD80" s="112">
        <f t="shared" si="121"/>
        <v>743870.25516127003</v>
      </c>
      <c r="AE80" s="54"/>
      <c r="AF80" s="129">
        <v>0</v>
      </c>
      <c r="AG80" s="112">
        <f t="shared" si="122"/>
        <v>789075.49140585028</v>
      </c>
      <c r="AI80" s="137">
        <f t="shared" si="127"/>
        <v>1.6088423117423221E-2</v>
      </c>
      <c r="AJ80" s="112">
        <f t="shared" si="123"/>
        <v>11778.206637550727</v>
      </c>
      <c r="AK80" s="54"/>
      <c r="AL80" s="138">
        <f t="shared" si="128"/>
        <v>3.3296226392575327E-3</v>
      </c>
      <c r="AM80" s="112">
        <f t="shared" si="124"/>
        <v>2618.6046549258754</v>
      </c>
      <c r="AN80" s="54"/>
      <c r="AO80" s="130">
        <f t="shared" si="125"/>
        <v>0</v>
      </c>
      <c r="AP80" s="112">
        <f t="shared" si="125"/>
        <v>-23337.395298835123</v>
      </c>
      <c r="AQ80" s="54"/>
      <c r="AR80" s="129">
        <f t="shared" si="126"/>
        <v>0</v>
      </c>
      <c r="AS80" s="112">
        <f t="shared" si="126"/>
        <v>-19577.522128438344</v>
      </c>
      <c r="AU80" s="130">
        <v>0</v>
      </c>
      <c r="AV80" s="112">
        <v>732092.04852371931</v>
      </c>
      <c r="AW80" s="54"/>
      <c r="AX80" s="129">
        <v>0</v>
      </c>
      <c r="AY80" s="112">
        <v>786456.8867509244</v>
      </c>
      <c r="BA80" s="130">
        <v>0</v>
      </c>
      <c r="BB80" s="112">
        <v>767207.65046010516</v>
      </c>
      <c r="BC80" s="54"/>
      <c r="BD80" s="129">
        <v>0</v>
      </c>
      <c r="BE80" s="112">
        <v>808653.01353428862</v>
      </c>
    </row>
    <row r="81" spans="2:57" hidden="1" outlineLevel="1" x14ac:dyDescent="0.4">
      <c r="C81" s="56" t="s">
        <v>23</v>
      </c>
      <c r="D81" s="57"/>
      <c r="E81" s="129">
        <v>0</v>
      </c>
      <c r="F81" s="112">
        <f t="shared" si="113"/>
        <v>54793.161726788647</v>
      </c>
      <c r="G81" s="54"/>
      <c r="H81" s="129">
        <v>0</v>
      </c>
      <c r="I81" s="112">
        <f t="shared" si="114"/>
        <v>47425.78</v>
      </c>
      <c r="J81" s="54"/>
      <c r="K81" s="129">
        <v>0</v>
      </c>
      <c r="L81" s="112">
        <f t="shared" si="115"/>
        <v>47816.22</v>
      </c>
      <c r="M81" s="54"/>
      <c r="N81" s="129">
        <v>0</v>
      </c>
      <c r="O81" s="112">
        <f t="shared" si="116"/>
        <v>49096.137727056936</v>
      </c>
      <c r="P81" s="54"/>
      <c r="Q81" s="129">
        <v>0</v>
      </c>
      <c r="R81" s="112">
        <f t="shared" si="117"/>
        <v>49096.137727056936</v>
      </c>
      <c r="S81" s="54"/>
      <c r="T81" s="129">
        <v>0</v>
      </c>
      <c r="U81" s="112">
        <f t="shared" si="118"/>
        <v>59028.1868061688</v>
      </c>
      <c r="V81" s="54"/>
      <c r="W81" s="129">
        <v>0</v>
      </c>
      <c r="X81" s="112">
        <f t="shared" si="119"/>
        <v>62888.527968763847</v>
      </c>
      <c r="Y81" s="54"/>
      <c r="Z81" s="129">
        <v>0</v>
      </c>
      <c r="AA81" s="112">
        <f t="shared" si="120"/>
        <v>64058.240278915226</v>
      </c>
      <c r="AB81" s="54"/>
      <c r="AC81" s="129">
        <v>0</v>
      </c>
      <c r="AD81" s="112">
        <f t="shared" si="121"/>
        <v>65892.867468246011</v>
      </c>
      <c r="AE81" s="54"/>
      <c r="AF81" s="129">
        <v>0</v>
      </c>
      <c r="AG81" s="112">
        <f t="shared" si="122"/>
        <v>67860.436326313909</v>
      </c>
      <c r="AI81" s="137">
        <f t="shared" si="127"/>
        <v>5.3471826840826617E-2</v>
      </c>
      <c r="AJ81" s="112">
        <f t="shared" si="123"/>
        <v>3344.5716435281138</v>
      </c>
      <c r="AK81" s="54"/>
      <c r="AL81" s="138">
        <f t="shared" si="128"/>
        <v>2.7003178120242298E-2</v>
      </c>
      <c r="AM81" s="112">
        <f t="shared" si="124"/>
        <v>1784.2665811324987</v>
      </c>
      <c r="AN81" s="54"/>
      <c r="AO81" s="130">
        <f t="shared" si="125"/>
        <v>0</v>
      </c>
      <c r="AP81" s="112">
        <f t="shared" si="125"/>
        <v>-2416.5719981239527</v>
      </c>
      <c r="AQ81" s="54"/>
      <c r="AR81" s="129">
        <f t="shared" si="126"/>
        <v>0</v>
      </c>
      <c r="AS81" s="112">
        <f t="shared" si="126"/>
        <v>-2042.91919016061</v>
      </c>
      <c r="AU81" s="130">
        <v>0</v>
      </c>
      <c r="AV81" s="112">
        <v>62548.295824717898</v>
      </c>
      <c r="AW81" s="54"/>
      <c r="AX81" s="129">
        <v>0</v>
      </c>
      <c r="AY81" s="112">
        <v>66076.169745181411</v>
      </c>
      <c r="BA81" s="130">
        <v>0</v>
      </c>
      <c r="BB81" s="112">
        <v>68309.439466369964</v>
      </c>
      <c r="BC81" s="54"/>
      <c r="BD81" s="129">
        <v>0</v>
      </c>
      <c r="BE81" s="112">
        <v>69903.355516474519</v>
      </c>
    </row>
    <row r="82" spans="2:57" hidden="1" outlineLevel="1" x14ac:dyDescent="0.4">
      <c r="C82" s="56" t="s">
        <v>24</v>
      </c>
      <c r="D82" s="57"/>
      <c r="E82" s="129">
        <v>0</v>
      </c>
      <c r="F82" s="112">
        <f t="shared" si="113"/>
        <v>1826.1271783128507</v>
      </c>
      <c r="G82" s="54"/>
      <c r="H82" s="129">
        <v>0</v>
      </c>
      <c r="I82" s="112">
        <f t="shared" si="114"/>
        <v>0</v>
      </c>
      <c r="J82" s="54"/>
      <c r="K82" s="129">
        <v>0</v>
      </c>
      <c r="L82" s="112">
        <f t="shared" si="115"/>
        <v>0</v>
      </c>
      <c r="M82" s="54"/>
      <c r="N82" s="129">
        <v>0</v>
      </c>
      <c r="O82" s="112">
        <f t="shared" si="116"/>
        <v>0</v>
      </c>
      <c r="P82" s="54"/>
      <c r="Q82" s="129">
        <v>0</v>
      </c>
      <c r="R82" s="112">
        <f t="shared" si="117"/>
        <v>0</v>
      </c>
      <c r="S82" s="54"/>
      <c r="T82" s="129">
        <v>0</v>
      </c>
      <c r="U82" s="112">
        <f t="shared" si="118"/>
        <v>2070.634574881858</v>
      </c>
      <c r="V82" s="54"/>
      <c r="W82" s="129">
        <v>0</v>
      </c>
      <c r="X82" s="112">
        <f t="shared" si="119"/>
        <v>2138.9452128710168</v>
      </c>
      <c r="Y82" s="54"/>
      <c r="Z82" s="129">
        <v>0</v>
      </c>
      <c r="AA82" s="112">
        <f t="shared" si="120"/>
        <v>2110.4052721432208</v>
      </c>
      <c r="AB82" s="54"/>
      <c r="AC82" s="129">
        <v>0</v>
      </c>
      <c r="AD82" s="112">
        <f t="shared" si="121"/>
        <v>2104.1548821644292</v>
      </c>
      <c r="AE82" s="54"/>
      <c r="AF82" s="129">
        <v>0</v>
      </c>
      <c r="AG82" s="112">
        <f t="shared" si="122"/>
        <v>2107.085747602453</v>
      </c>
      <c r="AI82" s="137">
        <f t="shared" si="127"/>
        <v>-7.9301652333638104E-2</v>
      </c>
      <c r="AJ82" s="112">
        <f t="shared" si="123"/>
        <v>-181.23521058169399</v>
      </c>
      <c r="AK82" s="54"/>
      <c r="AL82" s="138">
        <f t="shared" si="128"/>
        <v>-8.6161501383955952E-2</v>
      </c>
      <c r="AM82" s="112">
        <f t="shared" si="124"/>
        <v>-198.66712973146696</v>
      </c>
      <c r="AN82" s="54"/>
      <c r="AO82" s="130">
        <f t="shared" si="125"/>
        <v>0</v>
      </c>
      <c r="AP82" s="112">
        <f t="shared" si="125"/>
        <v>-48.476782020080918</v>
      </c>
      <c r="AQ82" s="54"/>
      <c r="AR82" s="129">
        <f t="shared" si="126"/>
        <v>0</v>
      </c>
      <c r="AS82" s="112">
        <f t="shared" si="126"/>
        <v>-34.411354661635414</v>
      </c>
      <c r="AU82" s="130">
        <v>0</v>
      </c>
      <c r="AV82" s="112">
        <v>2285.3900927461232</v>
      </c>
      <c r="AW82" s="54"/>
      <c r="AX82" s="129">
        <v>0</v>
      </c>
      <c r="AY82" s="112">
        <v>2305.75287733392</v>
      </c>
      <c r="BA82" s="130">
        <v>0</v>
      </c>
      <c r="BB82" s="112">
        <v>2152.6316641845101</v>
      </c>
      <c r="BC82" s="54"/>
      <c r="BD82" s="129">
        <v>0</v>
      </c>
      <c r="BE82" s="112">
        <v>2141.4971022640884</v>
      </c>
    </row>
    <row r="83" spans="2:57" hidden="1" outlineLevel="1" x14ac:dyDescent="0.4">
      <c r="C83" s="64" t="s">
        <v>25</v>
      </c>
      <c r="D83" s="65"/>
      <c r="E83" s="131">
        <f>SUM(E75:E82)</f>
        <v>210140.64</v>
      </c>
      <c r="F83" s="66">
        <f>SUM(F75:F82)</f>
        <v>18461225.925045032</v>
      </c>
      <c r="G83" s="132"/>
      <c r="H83" s="131">
        <f>SUM(H75:H82)</f>
        <v>223131.61</v>
      </c>
      <c r="I83" s="66">
        <f>SUM(I75:I82)</f>
        <v>18035210.390000001</v>
      </c>
      <c r="J83" s="132"/>
      <c r="K83" s="131">
        <f>SUM(K75:K82)</f>
        <v>224894.9</v>
      </c>
      <c r="L83" s="66">
        <f>SUM(L75:L82)</f>
        <v>18149975.560000002</v>
      </c>
      <c r="M83" s="132"/>
      <c r="N83" s="131">
        <f>SUM(N75:N82)</f>
        <v>217952.67170422222</v>
      </c>
      <c r="O83" s="66">
        <f>SUM(O75:O82)</f>
        <v>18331557.021815214</v>
      </c>
      <c r="P83" s="132"/>
      <c r="Q83" s="131">
        <f>SUM(Q75:Q82)</f>
        <v>225666.12844988768</v>
      </c>
      <c r="R83" s="66">
        <f>SUM(R75:R82)</f>
        <v>18339270.47856088</v>
      </c>
      <c r="S83" s="132"/>
      <c r="T83" s="131">
        <f>SUM(T75:T82)</f>
        <v>234027.66424266351</v>
      </c>
      <c r="U83" s="66">
        <f>SUM(U75:U82)</f>
        <v>21209213.701432813</v>
      </c>
      <c r="V83" s="132"/>
      <c r="W83" s="131">
        <f>SUM(W75:W82)</f>
        <v>234342.54247241493</v>
      </c>
      <c r="X83" s="66">
        <f>SUM(X75:X82)</f>
        <v>22673127.664747398</v>
      </c>
      <c r="Y83" s="132"/>
      <c r="Z83" s="131">
        <f>SUM(Z75:Z82)</f>
        <v>234091.70991672005</v>
      </c>
      <c r="AA83" s="66">
        <f>SUM(AA75:AA82)</f>
        <v>23313556.378224224</v>
      </c>
      <c r="AB83" s="132"/>
      <c r="AC83" s="131">
        <f>SUM(AC75:AC82)</f>
        <v>233443.05348309007</v>
      </c>
      <c r="AD83" s="66">
        <f>SUM(AD75:AD82)</f>
        <v>24350637.715181362</v>
      </c>
      <c r="AE83" s="132"/>
      <c r="AF83" s="131">
        <f>SUM(AF75:AF82)</f>
        <v>232717.44498454352</v>
      </c>
      <c r="AG83" s="66">
        <f>SUM(AG75:AG82)</f>
        <v>25625239.098711856</v>
      </c>
      <c r="AI83" s="140">
        <f t="shared" si="127"/>
        <v>1.6555033711742714E-2</v>
      </c>
      <c r="AJ83" s="66">
        <f t="shared" si="123"/>
        <v>396560.55492178351</v>
      </c>
      <c r="AK83" s="132"/>
      <c r="AL83" s="141">
        <f t="shared" si="128"/>
        <v>1.738935039543725E-2</v>
      </c>
      <c r="AM83" s="66">
        <f t="shared" si="124"/>
        <v>437989.90178259835</v>
      </c>
      <c r="AN83" s="132"/>
      <c r="AO83" s="133">
        <f t="shared" si="125"/>
        <v>-10034.785143055953</v>
      </c>
      <c r="AP83" s="66">
        <f t="shared" si="125"/>
        <v>-867993.81802544743</v>
      </c>
      <c r="AQ83" s="132"/>
      <c r="AR83" s="131">
        <f t="shared" si="126"/>
        <v>-10862.786557583779</v>
      </c>
      <c r="AS83" s="66">
        <f t="shared" si="126"/>
        <v>-1024602.2429178581</v>
      </c>
      <c r="AU83" s="133">
        <v>213546.76631148125</v>
      </c>
      <c r="AV83" s="66">
        <v>23954077.160259578</v>
      </c>
      <c r="AW83" s="132"/>
      <c r="AX83" s="131">
        <v>213117.83188587896</v>
      </c>
      <c r="AY83" s="66">
        <v>25187249.196929257</v>
      </c>
      <c r="BA83" s="133">
        <v>243477.83862614603</v>
      </c>
      <c r="BB83" s="66">
        <v>25218631.533206809</v>
      </c>
      <c r="BC83" s="132"/>
      <c r="BD83" s="131">
        <v>243580.23154212729</v>
      </c>
      <c r="BE83" s="66">
        <v>26649841.341629714</v>
      </c>
    </row>
    <row r="84" spans="2:57" hidden="1" outlineLevel="1" x14ac:dyDescent="0.4">
      <c r="C84" s="39"/>
      <c r="D84" s="39"/>
      <c r="E84" s="52"/>
      <c r="F84" s="53"/>
      <c r="G84" s="54"/>
      <c r="H84" s="20"/>
      <c r="I84" s="53"/>
      <c r="J84" s="54"/>
      <c r="K84" s="20"/>
      <c r="L84" s="53"/>
      <c r="M84" s="54"/>
      <c r="N84" s="20"/>
      <c r="O84" s="70"/>
      <c r="P84" s="54"/>
      <c r="Q84" s="20"/>
      <c r="R84" s="70"/>
      <c r="S84" s="54"/>
      <c r="T84" s="20"/>
      <c r="U84" s="53"/>
      <c r="V84" s="54"/>
      <c r="W84" s="20"/>
      <c r="X84" s="53"/>
      <c r="Y84" s="54"/>
      <c r="Z84" s="20"/>
      <c r="AA84" s="53"/>
      <c r="AB84" s="54"/>
      <c r="AC84" s="20"/>
      <c r="AD84" s="53"/>
      <c r="AE84" s="54"/>
      <c r="AF84" s="20"/>
      <c r="AG84" s="53"/>
      <c r="AI84" s="69"/>
      <c r="AJ84" s="53"/>
      <c r="AK84" s="54"/>
      <c r="AL84" s="20"/>
      <c r="AM84" s="53"/>
      <c r="AN84" s="54"/>
      <c r="AO84" s="69"/>
      <c r="AP84" s="53"/>
      <c r="AQ84" s="54"/>
      <c r="AR84" s="20"/>
      <c r="AS84" s="53"/>
      <c r="AU84" s="69"/>
      <c r="AV84" s="53"/>
      <c r="AW84" s="54"/>
      <c r="AX84" s="20"/>
      <c r="AY84" s="53"/>
      <c r="BA84" s="69"/>
      <c r="BB84" s="53"/>
      <c r="BC84" s="54"/>
      <c r="BD84" s="20"/>
      <c r="BE84" s="53"/>
    </row>
    <row r="85" spans="2:57" ht="5.0999999999999996" hidden="1" customHeight="1" outlineLevel="1" x14ac:dyDescent="0.4">
      <c r="F85" s="104"/>
      <c r="I85" s="104"/>
      <c r="L85" s="104"/>
      <c r="O85" s="104"/>
      <c r="R85" s="104"/>
      <c r="U85" s="104"/>
      <c r="X85" s="104"/>
      <c r="AA85" s="104"/>
      <c r="AD85" s="104"/>
      <c r="AG85" s="104"/>
      <c r="AI85" s="22"/>
      <c r="AJ85" s="104"/>
      <c r="AM85" s="104"/>
      <c r="AO85" s="22"/>
      <c r="AP85" s="104"/>
      <c r="AS85" s="104"/>
      <c r="AU85" s="22"/>
      <c r="AV85" s="104"/>
      <c r="AY85" s="104"/>
      <c r="BA85" s="22"/>
      <c r="BB85" s="104"/>
      <c r="BE85" s="104"/>
    </row>
    <row r="86" spans="2:57" hidden="1" outlineLevel="1" x14ac:dyDescent="0.4">
      <c r="B86" s="103" t="s">
        <v>45</v>
      </c>
      <c r="F86" s="104"/>
      <c r="I86" s="104"/>
      <c r="L86" s="104"/>
      <c r="O86" s="104"/>
      <c r="R86" s="104"/>
      <c r="T86" s="106" t="s">
        <v>38</v>
      </c>
      <c r="U86" s="107"/>
      <c r="V86" s="108"/>
      <c r="W86" s="109"/>
      <c r="X86" s="107"/>
      <c r="Y86" s="108"/>
      <c r="Z86" s="109"/>
      <c r="AA86" s="107"/>
      <c r="AB86" s="108"/>
      <c r="AC86" s="109"/>
      <c r="AD86" s="107"/>
      <c r="AE86" s="108"/>
      <c r="AF86" s="109"/>
      <c r="AG86" s="107"/>
      <c r="AI86" s="110"/>
      <c r="AJ86" s="107"/>
      <c r="AK86" s="108"/>
      <c r="AL86" s="109"/>
      <c r="AM86" s="107"/>
      <c r="AN86" s="108"/>
      <c r="AO86" s="110"/>
      <c r="AP86" s="107"/>
      <c r="AQ86" s="108"/>
      <c r="AR86" s="109"/>
      <c r="AS86" s="107"/>
      <c r="AU86" s="110"/>
      <c r="AV86" s="107"/>
      <c r="AW86" s="108"/>
      <c r="AX86" s="109"/>
      <c r="AY86" s="107"/>
      <c r="BA86" s="110"/>
      <c r="BB86" s="107"/>
      <c r="BC86" s="108"/>
      <c r="BD86" s="109"/>
      <c r="BE86" s="107"/>
    </row>
    <row r="87" spans="2:57" hidden="1" outlineLevel="1" x14ac:dyDescent="0.4">
      <c r="C87" s="56" t="s">
        <v>17</v>
      </c>
      <c r="D87" s="57"/>
      <c r="E87" s="111">
        <v>0.45936610590249571</v>
      </c>
      <c r="F87" s="112">
        <f t="shared" ref="F87:F94" si="139">F54*E87</f>
        <v>4939870.4196740426</v>
      </c>
      <c r="G87" s="54"/>
      <c r="H87" s="142" t="s">
        <v>17</v>
      </c>
      <c r="I87" s="112"/>
      <c r="J87" s="54"/>
      <c r="K87" s="142"/>
      <c r="L87" s="112"/>
      <c r="M87" s="54"/>
      <c r="N87" s="142"/>
      <c r="O87" s="112"/>
      <c r="P87" s="54"/>
      <c r="R87" s="104"/>
      <c r="S87" s="54"/>
      <c r="T87" s="111">
        <v>0.5</v>
      </c>
      <c r="U87" s="112">
        <v>6423143.2535128137</v>
      </c>
      <c r="V87" s="54"/>
      <c r="W87" s="111">
        <v>0.5</v>
      </c>
      <c r="X87" s="112">
        <f t="shared" ref="X87:X94" si="140">X54*W87</f>
        <v>6962247.5371605409</v>
      </c>
      <c r="Y87" s="54"/>
      <c r="Z87" s="111">
        <v>0.625</v>
      </c>
      <c r="AA87" s="112">
        <f t="shared" ref="AA87:AA94" si="141">AA54*Z87</f>
        <v>8963073.7321058903</v>
      </c>
      <c r="AB87" s="54"/>
      <c r="AC87" s="111">
        <v>0.75</v>
      </c>
      <c r="AD87" s="112">
        <f t="shared" ref="AD87:AD94" si="142">AD54*AC87</f>
        <v>11258333.465135897</v>
      </c>
      <c r="AE87" s="54"/>
      <c r="AF87" s="111">
        <v>0.875</v>
      </c>
      <c r="AG87" s="112">
        <f t="shared" ref="AG87:AG94" si="143">AG54*AF87</f>
        <v>13866853.8758393</v>
      </c>
      <c r="AI87" s="113">
        <f t="shared" ref="AI87:AJ94" si="144">AC87-AU87</f>
        <v>0</v>
      </c>
      <c r="AJ87" s="112">
        <f t="shared" si="144"/>
        <v>51353.311802441254</v>
      </c>
      <c r="AK87" s="54"/>
      <c r="AL87" s="111">
        <f t="shared" ref="AL87:AM94" si="145">AF87-AX87</f>
        <v>0</v>
      </c>
      <c r="AM87" s="112">
        <f t="shared" si="145"/>
        <v>78477.369223114103</v>
      </c>
      <c r="AN87" s="54"/>
      <c r="AO87" s="113">
        <f t="shared" ref="AO87:AP94" si="146">AC87-BA87</f>
        <v>0</v>
      </c>
      <c r="AP87" s="112">
        <f t="shared" si="146"/>
        <v>-380376.09185352363</v>
      </c>
      <c r="AQ87" s="54"/>
      <c r="AR87" s="111">
        <f t="shared" ref="AR87:AS94" si="147">AF87-BD87</f>
        <v>0</v>
      </c>
      <c r="AS87" s="112">
        <f t="shared" si="147"/>
        <v>-541379.37405694835</v>
      </c>
      <c r="AU87" s="113">
        <v>0.75</v>
      </c>
      <c r="AV87" s="112">
        <v>11206980.153333455</v>
      </c>
      <c r="AW87" s="54"/>
      <c r="AX87" s="111">
        <v>0.875</v>
      </c>
      <c r="AY87" s="112">
        <v>13788376.506616186</v>
      </c>
      <c r="BA87" s="113">
        <v>0.75</v>
      </c>
      <c r="BB87" s="112">
        <v>11638709.55698942</v>
      </c>
      <c r="BC87" s="54"/>
      <c r="BD87" s="111">
        <v>0.875</v>
      </c>
      <c r="BE87" s="112">
        <v>14408233.249896249</v>
      </c>
    </row>
    <row r="88" spans="2:57" hidden="1" outlineLevel="1" x14ac:dyDescent="0.4">
      <c r="C88" s="56" t="s">
        <v>18</v>
      </c>
      <c r="D88" s="57"/>
      <c r="E88" s="111">
        <v>0.15058886520184478</v>
      </c>
      <c r="F88" s="112">
        <f t="shared" si="139"/>
        <v>387791.35161659203</v>
      </c>
      <c r="G88" s="54"/>
      <c r="H88" s="142" t="s">
        <v>46</v>
      </c>
      <c r="I88" s="112"/>
      <c r="J88" s="54"/>
      <c r="K88" s="142"/>
      <c r="L88" s="112"/>
      <c r="M88" s="54"/>
      <c r="N88" s="142"/>
      <c r="O88" s="112"/>
      <c r="P88" s="54"/>
      <c r="R88" s="104"/>
      <c r="S88" s="54"/>
      <c r="T88" s="111">
        <v>0.27</v>
      </c>
      <c r="U88" s="112">
        <v>730530.51404104359</v>
      </c>
      <c r="V88" s="54"/>
      <c r="W88" s="111">
        <v>0.27</v>
      </c>
      <c r="X88" s="112">
        <f t="shared" si="140"/>
        <v>781088.71995784924</v>
      </c>
      <c r="Y88" s="54"/>
      <c r="Z88" s="111">
        <v>0.27</v>
      </c>
      <c r="AA88" s="112">
        <f t="shared" si="141"/>
        <v>803571.51966907782</v>
      </c>
      <c r="AB88" s="54"/>
      <c r="AC88" s="111">
        <v>0.27</v>
      </c>
      <c r="AD88" s="112">
        <f t="shared" si="142"/>
        <v>837656.31476437696</v>
      </c>
      <c r="AE88" s="54"/>
      <c r="AF88" s="111">
        <v>0.27</v>
      </c>
      <c r="AG88" s="112">
        <f t="shared" si="143"/>
        <v>877293.54522935464</v>
      </c>
      <c r="AI88" s="113">
        <f t="shared" si="144"/>
        <v>0</v>
      </c>
      <c r="AJ88" s="112">
        <f t="shared" si="144"/>
        <v>23573.905062341713</v>
      </c>
      <c r="AK88" s="54"/>
      <c r="AL88" s="111">
        <f t="shared" si="145"/>
        <v>0</v>
      </c>
      <c r="AM88" s="112">
        <f t="shared" si="145"/>
        <v>27962.381866020616</v>
      </c>
      <c r="AN88" s="54"/>
      <c r="AO88" s="113">
        <f t="shared" si="146"/>
        <v>0</v>
      </c>
      <c r="AP88" s="112">
        <f t="shared" si="146"/>
        <v>-28722.15271892387</v>
      </c>
      <c r="AQ88" s="54"/>
      <c r="AR88" s="111">
        <f t="shared" si="147"/>
        <v>0</v>
      </c>
      <c r="AS88" s="112">
        <f t="shared" si="147"/>
        <v>-34703.63227570639</v>
      </c>
      <c r="AU88" s="113">
        <v>0.27</v>
      </c>
      <c r="AV88" s="112">
        <v>814082.40970203525</v>
      </c>
      <c r="AW88" s="54"/>
      <c r="AX88" s="111">
        <v>0.27</v>
      </c>
      <c r="AY88" s="112">
        <v>849331.16336333402</v>
      </c>
      <c r="BA88" s="113">
        <v>0.27</v>
      </c>
      <c r="BB88" s="112">
        <v>866378.46748330083</v>
      </c>
      <c r="BC88" s="54"/>
      <c r="BD88" s="111">
        <v>0.27</v>
      </c>
      <c r="BE88" s="112">
        <v>911997.17750506103</v>
      </c>
    </row>
    <row r="89" spans="2:57" hidden="1" outlineLevel="1" x14ac:dyDescent="0.4">
      <c r="C89" s="56" t="s">
        <v>19</v>
      </c>
      <c r="D89" s="57"/>
      <c r="E89" s="111">
        <v>7.4508210246807205E-2</v>
      </c>
      <c r="F89" s="112">
        <f t="shared" si="139"/>
        <v>261210.38866875076</v>
      </c>
      <c r="G89" s="54"/>
      <c r="H89" s="142" t="s">
        <v>47</v>
      </c>
      <c r="I89" s="112"/>
      <c r="J89" s="54"/>
      <c r="K89" s="142"/>
      <c r="L89" s="112"/>
      <c r="M89" s="54"/>
      <c r="N89" s="142"/>
      <c r="O89" s="112"/>
      <c r="P89" s="54"/>
      <c r="R89" s="104"/>
      <c r="S89" s="54"/>
      <c r="T89" s="111">
        <v>7.8179420632456309E-2</v>
      </c>
      <c r="U89" s="112">
        <v>296655.83999999997</v>
      </c>
      <c r="V89" s="54"/>
      <c r="W89" s="111">
        <v>7.8539238523510635E-2</v>
      </c>
      <c r="X89" s="112">
        <f t="shared" si="140"/>
        <v>322374.08045151271</v>
      </c>
      <c r="Y89" s="54"/>
      <c r="Z89" s="111">
        <v>7.91778019338919E-2</v>
      </c>
      <c r="AA89" s="112">
        <f t="shared" si="141"/>
        <v>334245.41874651139</v>
      </c>
      <c r="AB89" s="54"/>
      <c r="AC89" s="111">
        <v>8.0020039561089495E-2</v>
      </c>
      <c r="AD89" s="112">
        <f t="shared" si="142"/>
        <v>352128.62853039149</v>
      </c>
      <c r="AE89" s="54"/>
      <c r="AF89" s="111">
        <v>8.0801842610797259E-2</v>
      </c>
      <c r="AG89" s="112">
        <f t="shared" si="143"/>
        <v>373124.76008607622</v>
      </c>
      <c r="AI89" s="113">
        <f t="shared" si="144"/>
        <v>-2.4056664380360804E-3</v>
      </c>
      <c r="AJ89" s="112">
        <f t="shared" si="144"/>
        <v>3355.1907871169387</v>
      </c>
      <c r="AK89" s="54"/>
      <c r="AL89" s="111">
        <f t="shared" si="145"/>
        <v>-2.8970708831560499E-3</v>
      </c>
      <c r="AM89" s="112">
        <f t="shared" si="145"/>
        <v>3485.7746455620509</v>
      </c>
      <c r="AN89" s="54"/>
      <c r="AO89" s="113">
        <f t="shared" si="146"/>
        <v>2.7168803265364971E-5</v>
      </c>
      <c r="AP89" s="112">
        <f t="shared" si="146"/>
        <v>-12175.42095312872</v>
      </c>
      <c r="AQ89" s="54"/>
      <c r="AR89" s="111">
        <f t="shared" si="147"/>
        <v>7.5201926630685811E-5</v>
      </c>
      <c r="AS89" s="112">
        <f t="shared" si="147"/>
        <v>-14456.300632052124</v>
      </c>
      <c r="AU89" s="113">
        <v>8.2425705999125576E-2</v>
      </c>
      <c r="AV89" s="112">
        <v>348773.43774327455</v>
      </c>
      <c r="AW89" s="54"/>
      <c r="AX89" s="111">
        <v>8.3698913493953309E-2</v>
      </c>
      <c r="AY89" s="112">
        <v>369638.98544051417</v>
      </c>
      <c r="BA89" s="113">
        <v>7.999287075782413E-2</v>
      </c>
      <c r="BB89" s="112">
        <v>364304.04948352021</v>
      </c>
      <c r="BC89" s="54"/>
      <c r="BD89" s="111">
        <v>8.0726640684166573E-2</v>
      </c>
      <c r="BE89" s="112">
        <v>387581.06071812834</v>
      </c>
    </row>
    <row r="90" spans="2:57" hidden="1" outlineLevel="1" x14ac:dyDescent="0.4">
      <c r="C90" s="56" t="s">
        <v>20</v>
      </c>
      <c r="D90" s="57"/>
      <c r="E90" s="111">
        <v>0.30649345162650232</v>
      </c>
      <c r="F90" s="112">
        <f t="shared" si="139"/>
        <v>142808.39999999997</v>
      </c>
      <c r="G90" s="54"/>
      <c r="H90" s="142" t="s">
        <v>48</v>
      </c>
      <c r="I90" s="112"/>
      <c r="J90" s="54"/>
      <c r="K90" s="142"/>
      <c r="L90" s="112"/>
      <c r="M90" s="54"/>
      <c r="N90" s="142"/>
      <c r="O90" s="112"/>
      <c r="P90" s="54"/>
      <c r="R90" s="104"/>
      <c r="S90" s="54"/>
      <c r="T90" s="111">
        <v>0.30721190718243396</v>
      </c>
      <c r="U90" s="112">
        <v>147546.72000000003</v>
      </c>
      <c r="V90" s="54"/>
      <c r="W90" s="111">
        <v>0.30793619207671663</v>
      </c>
      <c r="X90" s="112">
        <f t="shared" si="140"/>
        <v>157970.12105567486</v>
      </c>
      <c r="Y90" s="54"/>
      <c r="Z90" s="111">
        <v>0.30946204161245905</v>
      </c>
      <c r="AA90" s="112">
        <f t="shared" si="141"/>
        <v>161386.33797861816</v>
      </c>
      <c r="AB90" s="54"/>
      <c r="AC90" s="111">
        <v>0.31159319906203475</v>
      </c>
      <c r="AD90" s="112">
        <f t="shared" si="142"/>
        <v>166918.4094801204</v>
      </c>
      <c r="AE90" s="54"/>
      <c r="AF90" s="111">
        <v>0.31364877789834134</v>
      </c>
      <c r="AG90" s="112">
        <f t="shared" si="143"/>
        <v>173602.17317540242</v>
      </c>
      <c r="AI90" s="113">
        <f t="shared" si="144"/>
        <v>-5.0708218279370776E-2</v>
      </c>
      <c r="AJ90" s="112">
        <f t="shared" si="144"/>
        <v>-17086.766761155101</v>
      </c>
      <c r="AK90" s="54"/>
      <c r="AL90" s="111">
        <f t="shared" si="145"/>
        <v>-6.3797943230761711E-2</v>
      </c>
      <c r="AM90" s="112">
        <f t="shared" si="145"/>
        <v>-32449.494080344215</v>
      </c>
      <c r="AN90" s="54"/>
      <c r="AO90" s="113">
        <f t="shared" si="146"/>
        <v>5.2899270379191954E-4</v>
      </c>
      <c r="AP90" s="112">
        <f t="shared" si="146"/>
        <v>-18075.897742011235</v>
      </c>
      <c r="AQ90" s="54"/>
      <c r="AR90" s="111">
        <f t="shared" si="147"/>
        <v>7.3543710769607973E-4</v>
      </c>
      <c r="AS90" s="112">
        <f t="shared" si="147"/>
        <v>-17489.216620619118</v>
      </c>
      <c r="AU90" s="113">
        <v>0.36230141734140553</v>
      </c>
      <c r="AV90" s="112">
        <v>184005.17624127551</v>
      </c>
      <c r="AW90" s="54"/>
      <c r="AX90" s="111">
        <v>0.37744672112910305</v>
      </c>
      <c r="AY90" s="112">
        <v>206051.66725574664</v>
      </c>
      <c r="BA90" s="113">
        <v>0.31106420635824283</v>
      </c>
      <c r="BB90" s="112">
        <v>184994.30722213164</v>
      </c>
      <c r="BC90" s="54"/>
      <c r="BD90" s="111">
        <v>0.31291334079064526</v>
      </c>
      <c r="BE90" s="112">
        <v>191091.38979602154</v>
      </c>
    </row>
    <row r="91" spans="2:57" hidden="1" outlineLevel="1" x14ac:dyDescent="0.4">
      <c r="C91" s="56" t="s">
        <v>21</v>
      </c>
      <c r="D91" s="57"/>
      <c r="E91" s="111">
        <v>0.48944458876941344</v>
      </c>
      <c r="F91" s="112">
        <f t="shared" si="139"/>
        <v>96688.44</v>
      </c>
      <c r="G91" s="54"/>
      <c r="H91" s="142" t="s">
        <v>49</v>
      </c>
      <c r="I91" s="112"/>
      <c r="J91" s="54"/>
      <c r="K91" s="142"/>
      <c r="L91" s="112"/>
      <c r="M91" s="54"/>
      <c r="N91" s="142"/>
      <c r="O91" s="112"/>
      <c r="P91" s="54"/>
      <c r="R91" s="104"/>
      <c r="S91" s="54"/>
      <c r="T91" s="111">
        <v>0.41456948162966611</v>
      </c>
      <c r="U91" s="112">
        <v>93748.92</v>
      </c>
      <c r="V91" s="54"/>
      <c r="W91" s="111">
        <v>0.41444875731614195</v>
      </c>
      <c r="X91" s="112">
        <f t="shared" si="140"/>
        <v>100169.09636414597</v>
      </c>
      <c r="Y91" s="54"/>
      <c r="Z91" s="111">
        <v>0.41392640507214173</v>
      </c>
      <c r="AA91" s="112">
        <f t="shared" si="141"/>
        <v>102335.7083777326</v>
      </c>
      <c r="AB91" s="54"/>
      <c r="AC91" s="111">
        <v>0.41412035887193155</v>
      </c>
      <c r="AD91" s="112">
        <f t="shared" si="142"/>
        <v>105843.52434390639</v>
      </c>
      <c r="AE91" s="54"/>
      <c r="AF91" s="111">
        <v>0.41517751669949887</v>
      </c>
      <c r="AG91" s="112">
        <f t="shared" si="143"/>
        <v>110081.25942041868</v>
      </c>
      <c r="AI91" s="113">
        <f t="shared" si="144"/>
        <v>-1.6016989059606024E-2</v>
      </c>
      <c r="AJ91" s="112">
        <f t="shared" si="144"/>
        <v>-227.65798652307421</v>
      </c>
      <c r="AK91" s="54"/>
      <c r="AL91" s="111">
        <f t="shared" si="145"/>
        <v>-2.0774073023601347E-2</v>
      </c>
      <c r="AM91" s="112">
        <f t="shared" si="145"/>
        <v>-333.94775051923352</v>
      </c>
      <c r="AN91" s="54"/>
      <c r="AO91" s="113">
        <f t="shared" si="146"/>
        <v>0</v>
      </c>
      <c r="AP91" s="112">
        <f t="shared" si="146"/>
        <v>-2438.4865873460658</v>
      </c>
      <c r="AQ91" s="54"/>
      <c r="AR91" s="111">
        <f t="shared" si="147"/>
        <v>-5.1078493201739406E-7</v>
      </c>
      <c r="AS91" s="112">
        <f t="shared" si="147"/>
        <v>-1769.6112767579907</v>
      </c>
      <c r="AU91" s="113">
        <v>0.43013734793153757</v>
      </c>
      <c r="AV91" s="112">
        <v>106071.18233042947</v>
      </c>
      <c r="AW91" s="54"/>
      <c r="AX91" s="111">
        <v>0.43595158972310022</v>
      </c>
      <c r="AY91" s="112">
        <v>110415.20717093791</v>
      </c>
      <c r="BA91" s="113">
        <v>0.41412035887193155</v>
      </c>
      <c r="BB91" s="112">
        <v>108282.01093125246</v>
      </c>
      <c r="BC91" s="54"/>
      <c r="BD91" s="111">
        <v>0.41517802748443089</v>
      </c>
      <c r="BE91" s="112">
        <v>111850.87069717667</v>
      </c>
    </row>
    <row r="92" spans="2:57" hidden="1" outlineLevel="1" x14ac:dyDescent="0.4">
      <c r="C92" s="56" t="s">
        <v>22</v>
      </c>
      <c r="D92" s="57"/>
      <c r="E92" s="111">
        <v>0.25107762156035374</v>
      </c>
      <c r="F92" s="112">
        <f t="shared" si="139"/>
        <v>174837.60879455131</v>
      </c>
      <c r="G92" s="54"/>
      <c r="H92" s="142" t="s">
        <v>22</v>
      </c>
      <c r="I92" s="112"/>
      <c r="J92" s="54"/>
      <c r="K92" s="142"/>
      <c r="L92" s="112"/>
      <c r="M92" s="54"/>
      <c r="N92" s="142"/>
      <c r="O92" s="112"/>
      <c r="P92" s="54"/>
      <c r="R92" s="104"/>
      <c r="S92" s="54"/>
      <c r="T92" s="111">
        <v>0.29188982180873824</v>
      </c>
      <c r="U92" s="112">
        <v>251654.96989374128</v>
      </c>
      <c r="V92" s="54"/>
      <c r="W92" s="111">
        <v>0.40811284653148683</v>
      </c>
      <c r="X92" s="112">
        <f t="shared" si="140"/>
        <v>284466.19637006469</v>
      </c>
      <c r="Y92" s="54"/>
      <c r="Z92" s="111">
        <v>0.43152790503424165</v>
      </c>
      <c r="AA92" s="112">
        <f t="shared" si="141"/>
        <v>304656.9228889111</v>
      </c>
      <c r="AB92" s="54"/>
      <c r="AC92" s="111">
        <v>0.43138222479930111</v>
      </c>
      <c r="AD92" s="112">
        <f t="shared" si="142"/>
        <v>320892.40563349245</v>
      </c>
      <c r="AE92" s="54"/>
      <c r="AF92" s="111">
        <v>0.4318988864026303</v>
      </c>
      <c r="AG92" s="112">
        <f t="shared" si="143"/>
        <v>340800.82602579502</v>
      </c>
      <c r="AI92" s="113">
        <f t="shared" si="144"/>
        <v>-8.0844038689971143E-3</v>
      </c>
      <c r="AJ92" s="112">
        <f t="shared" si="144"/>
        <v>-837.6188060946879</v>
      </c>
      <c r="AK92" s="54"/>
      <c r="AL92" s="111">
        <f t="shared" si="145"/>
        <v>-2.3000243769731865E-3</v>
      </c>
      <c r="AM92" s="112">
        <f t="shared" si="145"/>
        <v>-677.89757657435257</v>
      </c>
      <c r="AN92" s="54"/>
      <c r="AO92" s="113">
        <f t="shared" si="146"/>
        <v>0</v>
      </c>
      <c r="AP92" s="112">
        <f t="shared" si="146"/>
        <v>-10067.337505032192</v>
      </c>
      <c r="AQ92" s="54"/>
      <c r="AR92" s="111">
        <f t="shared" si="147"/>
        <v>1.2319838616114964E-4</v>
      </c>
      <c r="AS92" s="112">
        <f t="shared" si="147"/>
        <v>-8355.885259563569</v>
      </c>
      <c r="AU92" s="113">
        <v>0.43946662866829822</v>
      </c>
      <c r="AV92" s="112">
        <v>321730.02443958714</v>
      </c>
      <c r="AW92" s="54"/>
      <c r="AX92" s="111">
        <v>0.43419891077960349</v>
      </c>
      <c r="AY92" s="112">
        <v>341478.72360236937</v>
      </c>
      <c r="BA92" s="113">
        <v>0.431382224799301</v>
      </c>
      <c r="BB92" s="112">
        <v>330959.74313852465</v>
      </c>
      <c r="BC92" s="54"/>
      <c r="BD92" s="111">
        <v>0.43177568801646915</v>
      </c>
      <c r="BE92" s="112">
        <v>349156.71128535859</v>
      </c>
    </row>
    <row r="93" spans="2:57" hidden="1" outlineLevel="1" x14ac:dyDescent="0.4">
      <c r="C93" s="56" t="s">
        <v>23</v>
      </c>
      <c r="D93" s="57"/>
      <c r="E93" s="111">
        <v>0.22282248009451722</v>
      </c>
      <c r="F93" s="112">
        <f t="shared" si="139"/>
        <v>12209.148188183026</v>
      </c>
      <c r="G93" s="54"/>
      <c r="H93" s="142" t="s">
        <v>50</v>
      </c>
      <c r="I93" s="112"/>
      <c r="J93" s="54"/>
      <c r="K93" s="142"/>
      <c r="L93" s="112"/>
      <c r="M93" s="54"/>
      <c r="N93" s="142"/>
      <c r="O93" s="112"/>
      <c r="P93" s="54"/>
      <c r="R93" s="104"/>
      <c r="S93" s="54"/>
      <c r="T93" s="111">
        <v>0.24500200235876013</v>
      </c>
      <c r="U93" s="112">
        <v>14447.861233311905</v>
      </c>
      <c r="V93" s="54"/>
      <c r="W93" s="111">
        <v>0.24623395749119259</v>
      </c>
      <c r="X93" s="112">
        <f t="shared" si="140"/>
        <v>15485.291122544273</v>
      </c>
      <c r="Y93" s="54"/>
      <c r="Z93" s="111">
        <v>0.24729045627757829</v>
      </c>
      <c r="AA93" s="112">
        <f t="shared" si="141"/>
        <v>15840.99146691169</v>
      </c>
      <c r="AB93" s="54"/>
      <c r="AC93" s="111">
        <v>0.24874427830420875</v>
      </c>
      <c r="AD93" s="112">
        <f t="shared" si="142"/>
        <v>16390.473763783728</v>
      </c>
      <c r="AE93" s="54"/>
      <c r="AF93" s="111">
        <v>0.25135139541178508</v>
      </c>
      <c r="AG93" s="112">
        <f t="shared" si="143"/>
        <v>17056.815363871592</v>
      </c>
      <c r="AI93" s="113">
        <f t="shared" si="144"/>
        <v>1.5575182728103099E-2</v>
      </c>
      <c r="AJ93" s="112">
        <f t="shared" si="144"/>
        <v>1806.1441965075501</v>
      </c>
      <c r="AK93" s="54"/>
      <c r="AL93" s="111">
        <f t="shared" si="145"/>
        <v>2.2680144384789713E-2</v>
      </c>
      <c r="AM93" s="112">
        <f t="shared" si="145"/>
        <v>1947.094965168857</v>
      </c>
      <c r="AN93" s="54"/>
      <c r="AO93" s="113">
        <f t="shared" si="146"/>
        <v>0</v>
      </c>
      <c r="AP93" s="112">
        <f t="shared" si="146"/>
        <v>-601.10845764350233</v>
      </c>
      <c r="AQ93" s="54"/>
      <c r="AR93" s="111">
        <f t="shared" si="147"/>
        <v>5.0350910289709283E-5</v>
      </c>
      <c r="AS93" s="112">
        <f t="shared" si="147"/>
        <v>-509.97089157782466</v>
      </c>
      <c r="AU93" s="113">
        <v>0.23316909557610566</v>
      </c>
      <c r="AV93" s="112">
        <v>14584.329567276178</v>
      </c>
      <c r="AW93" s="54"/>
      <c r="AX93" s="111">
        <v>0.22867125102699537</v>
      </c>
      <c r="AY93" s="112">
        <v>15109.720398702735</v>
      </c>
      <c r="BA93" s="113">
        <v>0.24874427830420875</v>
      </c>
      <c r="BB93" s="112">
        <v>16991.58222142723</v>
      </c>
      <c r="BC93" s="54"/>
      <c r="BD93" s="111">
        <v>0.25130104450149537</v>
      </c>
      <c r="BE93" s="112">
        <v>17566.786255449417</v>
      </c>
    </row>
    <row r="94" spans="2:57" hidden="1" outlineLevel="1" x14ac:dyDescent="0.4">
      <c r="C94" s="56" t="s">
        <v>24</v>
      </c>
      <c r="D94" s="57"/>
      <c r="E94" s="111">
        <v>0.61860958739706295</v>
      </c>
      <c r="F94" s="112">
        <f t="shared" si="139"/>
        <v>1129.6597803106754</v>
      </c>
      <c r="G94" s="54"/>
      <c r="H94" s="142" t="s">
        <v>51</v>
      </c>
      <c r="I94" s="112"/>
      <c r="J94" s="54"/>
      <c r="K94" s="142"/>
      <c r="L94" s="112"/>
      <c r="M94" s="54"/>
      <c r="N94" s="142"/>
      <c r="O94" s="112"/>
      <c r="P94" s="54"/>
      <c r="R94" s="104"/>
      <c r="S94" s="54"/>
      <c r="T94" s="111">
        <v>0.66031521151064543</v>
      </c>
      <c r="U94" s="112">
        <v>1368.1886810626627</v>
      </c>
      <c r="V94" s="54"/>
      <c r="W94" s="111">
        <v>0.66261877517818535</v>
      </c>
      <c r="X94" s="112">
        <f t="shared" si="140"/>
        <v>1417.3052571258361</v>
      </c>
      <c r="Y94" s="54"/>
      <c r="Z94" s="111">
        <v>0.66423552231513039</v>
      </c>
      <c r="AA94" s="112">
        <f t="shared" si="141"/>
        <v>1401.8061482386572</v>
      </c>
      <c r="AB94" s="54"/>
      <c r="AC94" s="111">
        <v>0.66621436976598947</v>
      </c>
      <c r="AD94" s="112">
        <f t="shared" si="142"/>
        <v>1401.818218711205</v>
      </c>
      <c r="AE94" s="54"/>
      <c r="AF94" s="111">
        <v>0.66897918816198376</v>
      </c>
      <c r="AG94" s="112">
        <f t="shared" si="143"/>
        <v>1409.5965128187756</v>
      </c>
      <c r="AI94" s="113">
        <f t="shared" si="144"/>
        <v>2.8852521327693559E-3</v>
      </c>
      <c r="AJ94" s="112">
        <f t="shared" si="144"/>
        <v>-114.14757495778395</v>
      </c>
      <c r="AK94" s="54"/>
      <c r="AL94" s="111">
        <f t="shared" si="145"/>
        <v>2.9471411263491953E-3</v>
      </c>
      <c r="AM94" s="112">
        <f t="shared" si="145"/>
        <v>-126.10879603023955</v>
      </c>
      <c r="AN94" s="54"/>
      <c r="AO94" s="113">
        <f t="shared" si="146"/>
        <v>0</v>
      </c>
      <c r="AP94" s="112">
        <f t="shared" si="146"/>
        <v>-32.295928781791417</v>
      </c>
      <c r="AQ94" s="54"/>
      <c r="AR94" s="111">
        <f t="shared" si="147"/>
        <v>-8.3019970627429274E-5</v>
      </c>
      <c r="AS94" s="112">
        <f t="shared" si="147"/>
        <v>-23.198267131623652</v>
      </c>
      <c r="AU94" s="113">
        <v>0.66332911763322011</v>
      </c>
      <c r="AV94" s="112">
        <v>1515.9657936689889</v>
      </c>
      <c r="AW94" s="54"/>
      <c r="AX94" s="111">
        <v>0.66603204703563457</v>
      </c>
      <c r="AY94" s="112">
        <v>1535.7053088490152</v>
      </c>
      <c r="BA94" s="113">
        <v>0.66621436976598947</v>
      </c>
      <c r="BB94" s="112">
        <v>1434.1141474929964</v>
      </c>
      <c r="BC94" s="54"/>
      <c r="BD94" s="111">
        <v>0.66906220813261119</v>
      </c>
      <c r="BE94" s="112">
        <v>1432.7947799503993</v>
      </c>
    </row>
    <row r="95" spans="2:57" hidden="1" outlineLevel="1" x14ac:dyDescent="0.4">
      <c r="C95" s="64" t="s">
        <v>25</v>
      </c>
      <c r="D95" s="65"/>
      <c r="E95" s="63"/>
      <c r="F95" s="102">
        <f>SUM(F87:F94)</f>
        <v>6016545.4167224308</v>
      </c>
      <c r="G95" s="54"/>
      <c r="H95" s="143"/>
      <c r="I95" s="70"/>
      <c r="J95" s="54"/>
      <c r="K95" s="143"/>
      <c r="L95" s="70"/>
      <c r="M95" s="54"/>
      <c r="N95" s="143"/>
      <c r="O95" s="70"/>
      <c r="P95" s="54"/>
      <c r="R95" s="104"/>
      <c r="S95" s="54"/>
      <c r="T95" s="143"/>
      <c r="U95" s="102">
        <f>SUM(U87:U94)</f>
        <v>7959096.2673619725</v>
      </c>
      <c r="V95" s="54"/>
      <c r="W95" s="143"/>
      <c r="X95" s="102">
        <f>SUM(X87:X94)</f>
        <v>8625218.3477394599</v>
      </c>
      <c r="Y95" s="54"/>
      <c r="Z95" s="143"/>
      <c r="AA95" s="102">
        <f>SUM(AA87:AA94)</f>
        <v>10686512.43738189</v>
      </c>
      <c r="AB95" s="54"/>
      <c r="AC95" s="143"/>
      <c r="AD95" s="102">
        <f>SUM(AD87:AD94)</f>
        <v>13059565.039870681</v>
      </c>
      <c r="AE95" s="54"/>
      <c r="AF95" s="143"/>
      <c r="AG95" s="102">
        <f>SUM(AG87:AG94)</f>
        <v>15760222.851653038</v>
      </c>
      <c r="AI95" s="144"/>
      <c r="AJ95" s="102">
        <f>SUM(AJ87:AJ94)</f>
        <v>61822.360719676813</v>
      </c>
      <c r="AK95" s="54"/>
      <c r="AL95" s="143"/>
      <c r="AM95" s="102">
        <f>SUM(AM87:AM94)</f>
        <v>78285.172496397587</v>
      </c>
      <c r="AN95" s="54"/>
      <c r="AO95" s="144"/>
      <c r="AP95" s="102">
        <f>SUM(AP87:AP94)</f>
        <v>-452488.79174639098</v>
      </c>
      <c r="AQ95" s="54"/>
      <c r="AR95" s="143"/>
      <c r="AS95" s="102">
        <f>SUM(AS87:AS94)</f>
        <v>-618687.18928035698</v>
      </c>
      <c r="AU95" s="144"/>
      <c r="AV95" s="102">
        <v>12997742.679151</v>
      </c>
      <c r="AW95" s="54"/>
      <c r="AX95" s="143"/>
      <c r="AY95" s="102">
        <v>15681937.679156641</v>
      </c>
      <c r="BA95" s="144"/>
      <c r="BB95" s="102">
        <v>13512053.83161707</v>
      </c>
      <c r="BC95" s="54"/>
      <c r="BD95" s="143"/>
      <c r="BE95" s="102">
        <v>16378910.040933395</v>
      </c>
    </row>
    <row r="96" spans="2:57" hidden="1" outlineLevel="1" x14ac:dyDescent="0.4">
      <c r="C96" s="39"/>
      <c r="D96" s="39"/>
      <c r="E96" s="52"/>
      <c r="F96" s="53"/>
      <c r="G96" s="54"/>
      <c r="H96" s="20"/>
      <c r="I96" s="53"/>
      <c r="J96" s="54"/>
      <c r="K96" s="20"/>
      <c r="L96" s="53"/>
      <c r="M96" s="54"/>
      <c r="N96" s="20"/>
      <c r="O96" s="53"/>
      <c r="P96" s="54"/>
      <c r="R96" s="104"/>
      <c r="S96" s="54"/>
      <c r="T96" s="20"/>
      <c r="U96" s="53"/>
      <c r="V96" s="54"/>
      <c r="W96" s="20"/>
      <c r="X96" s="53"/>
      <c r="Y96" s="54"/>
      <c r="Z96" s="20"/>
      <c r="AA96" s="53"/>
      <c r="AB96" s="54"/>
      <c r="AC96" s="20"/>
      <c r="AD96" s="53"/>
      <c r="AE96" s="54"/>
      <c r="AF96" s="20"/>
      <c r="AG96" s="53"/>
      <c r="AI96" s="69"/>
      <c r="AJ96" s="53"/>
      <c r="AK96" s="54"/>
      <c r="AL96" s="20"/>
      <c r="AM96" s="53"/>
      <c r="AN96" s="54"/>
      <c r="AO96" s="69"/>
      <c r="AP96" s="53"/>
      <c r="AQ96" s="54"/>
      <c r="AR96" s="20"/>
      <c r="AS96" s="53"/>
      <c r="AU96" s="69"/>
      <c r="AV96" s="53"/>
      <c r="AW96" s="54"/>
      <c r="AX96" s="20"/>
      <c r="AY96" s="53"/>
      <c r="BA96" s="69"/>
      <c r="BB96" s="53"/>
      <c r="BC96" s="54"/>
      <c r="BD96" s="20"/>
      <c r="BE96" s="53"/>
    </row>
    <row r="97" spans="2:57" hidden="1" outlineLevel="1" x14ac:dyDescent="0.4">
      <c r="B97" s="103" t="s">
        <v>52</v>
      </c>
      <c r="F97" s="104"/>
      <c r="I97" s="104"/>
      <c r="L97" s="104"/>
      <c r="O97" s="104"/>
      <c r="R97" s="104"/>
      <c r="U97" s="104"/>
      <c r="X97" s="104"/>
      <c r="AA97" s="104"/>
      <c r="AD97" s="104"/>
      <c r="AG97" s="104"/>
      <c r="AI97" s="22"/>
      <c r="AJ97" s="104"/>
      <c r="AM97" s="104"/>
      <c r="AO97" s="22"/>
      <c r="AP97" s="104"/>
      <c r="AS97" s="104"/>
      <c r="AU97" s="22"/>
      <c r="AV97" s="104"/>
      <c r="AY97" s="104"/>
      <c r="BA97" s="22"/>
      <c r="BB97" s="104"/>
      <c r="BE97" s="104"/>
    </row>
    <row r="98" spans="2:57" hidden="1" outlineLevel="1" x14ac:dyDescent="0.4">
      <c r="C98" s="56" t="s">
        <v>17</v>
      </c>
      <c r="D98" s="57"/>
      <c r="E98" s="142">
        <f t="shared" ref="E98:E105" si="148">1-E87</f>
        <v>0.54063389409750429</v>
      </c>
      <c r="F98" s="112">
        <f t="shared" ref="F98:F105" si="149">F54*E98+E75</f>
        <v>5813797.20229581</v>
      </c>
      <c r="G98" s="54"/>
      <c r="H98" s="142"/>
      <c r="I98" s="112"/>
      <c r="J98" s="54"/>
      <c r="K98" s="142">
        <f>K109/H109-1</f>
        <v>1.0909090909090979E-2</v>
      </c>
      <c r="L98" s="145">
        <f>L109/I109-1</f>
        <v>7.6166776573816097E-3</v>
      </c>
      <c r="M98" s="54"/>
      <c r="N98" s="142"/>
      <c r="O98" s="112"/>
      <c r="P98" s="54"/>
      <c r="R98" s="104"/>
      <c r="S98" s="54"/>
      <c r="T98" s="142">
        <f t="shared" ref="T98:T105" si="150">1-T87</f>
        <v>0.5</v>
      </c>
      <c r="U98" s="112">
        <f>U75-U87</f>
        <v>6422459.3109012591</v>
      </c>
      <c r="V98" s="54"/>
      <c r="W98" s="142">
        <f t="shared" ref="W98:W105" si="151">1-W87</f>
        <v>0.5</v>
      </c>
      <c r="X98" s="112">
        <f t="shared" ref="X98:X105" si="152">X54*W98+W75</f>
        <v>6962247.5371605409</v>
      </c>
      <c r="Y98" s="54"/>
      <c r="Z98" s="142">
        <f t="shared" ref="Z98:Z105" si="153">1-Z87</f>
        <v>0.375</v>
      </c>
      <c r="AA98" s="112">
        <f t="shared" ref="AA98:AA105" si="154">AA54*Z98+Z75</f>
        <v>5377844.2392635345</v>
      </c>
      <c r="AB98" s="54"/>
      <c r="AC98" s="142">
        <f t="shared" ref="AC98:AC105" si="155">1-AC87</f>
        <v>0.25</v>
      </c>
      <c r="AD98" s="112">
        <f t="shared" ref="AD98:AD105" si="156">AD54*AC98+AC75</f>
        <v>3752777.8217119654</v>
      </c>
      <c r="AE98" s="54"/>
      <c r="AF98" s="142">
        <f t="shared" ref="AF98:AF105" si="157">1-AF87</f>
        <v>0.125</v>
      </c>
      <c r="AG98" s="112">
        <f t="shared" ref="AG98:AG105" si="158">AG54*AF98+AF75</f>
        <v>1980979.1251199001</v>
      </c>
      <c r="AI98" s="146">
        <f t="shared" ref="AI98:AJ105" si="159">AC98-AU98</f>
        <v>0</v>
      </c>
      <c r="AJ98" s="112">
        <f t="shared" si="159"/>
        <v>17117.770600813441</v>
      </c>
      <c r="AK98" s="54"/>
      <c r="AL98" s="142">
        <f t="shared" ref="AL98:AM105" si="160">AF98-AX98</f>
        <v>0</v>
      </c>
      <c r="AM98" s="112">
        <f t="shared" si="160"/>
        <v>11211.052746159257</v>
      </c>
      <c r="AN98" s="54"/>
      <c r="AO98" s="146">
        <f t="shared" ref="AO98:AP105" si="161">AC98-BA98</f>
        <v>0</v>
      </c>
      <c r="AP98" s="112">
        <f t="shared" si="161"/>
        <v>-126792.03061784105</v>
      </c>
      <c r="AQ98" s="54"/>
      <c r="AR98" s="142">
        <f t="shared" ref="AR98:AS105" si="162">AF98-BD98</f>
        <v>0</v>
      </c>
      <c r="AS98" s="112">
        <f t="shared" si="162"/>
        <v>-77339.91057956405</v>
      </c>
      <c r="AU98" s="146">
        <v>0.25</v>
      </c>
      <c r="AV98" s="112">
        <v>3735660.0511111519</v>
      </c>
      <c r="AW98" s="54"/>
      <c r="AX98" s="142">
        <v>0.125</v>
      </c>
      <c r="AY98" s="112">
        <v>1969768.0723737408</v>
      </c>
      <c r="BA98" s="146">
        <v>0.25</v>
      </c>
      <c r="BB98" s="112">
        <v>3879569.8523298064</v>
      </c>
      <c r="BC98" s="54"/>
      <c r="BD98" s="142">
        <v>0.125</v>
      </c>
      <c r="BE98" s="112">
        <v>2058319.0356994641</v>
      </c>
    </row>
    <row r="99" spans="2:57" hidden="1" outlineLevel="1" x14ac:dyDescent="0.4">
      <c r="C99" s="56" t="s">
        <v>18</v>
      </c>
      <c r="D99" s="57"/>
      <c r="E99" s="142">
        <f t="shared" si="148"/>
        <v>0.84941113479815522</v>
      </c>
      <c r="F99" s="112">
        <f t="shared" si="149"/>
        <v>2187374.8208411667</v>
      </c>
      <c r="G99" s="54"/>
      <c r="H99" s="142"/>
      <c r="I99" s="112"/>
      <c r="J99" s="54"/>
      <c r="K99" s="142">
        <f t="shared" ref="K99:L105" si="163">K110/H110-1</f>
        <v>1.1029411764705843E-2</v>
      </c>
      <c r="L99" s="145">
        <f t="shared" si="163"/>
        <v>1.0223529655524199E-2</v>
      </c>
      <c r="M99" s="54"/>
      <c r="N99" s="142"/>
      <c r="O99" s="112"/>
      <c r="P99" s="54"/>
      <c r="R99" s="104"/>
      <c r="S99" s="54"/>
      <c r="T99" s="142">
        <f t="shared" si="150"/>
        <v>0.73</v>
      </c>
      <c r="U99" s="112">
        <f t="shared" ref="U99:U105" si="164">U76-U88</f>
        <v>1975644.6120113337</v>
      </c>
      <c r="V99" s="54"/>
      <c r="W99" s="142">
        <f t="shared" si="151"/>
        <v>0.73</v>
      </c>
      <c r="X99" s="112">
        <f t="shared" si="152"/>
        <v>2111832.4650712218</v>
      </c>
      <c r="Y99" s="54"/>
      <c r="Z99" s="142">
        <f t="shared" si="153"/>
        <v>0.73</v>
      </c>
      <c r="AA99" s="112">
        <f t="shared" si="154"/>
        <v>2172619.2939200993</v>
      </c>
      <c r="AB99" s="54"/>
      <c r="AC99" s="142">
        <f t="shared" si="155"/>
        <v>0.73</v>
      </c>
      <c r="AD99" s="112">
        <f t="shared" si="156"/>
        <v>2264774.4806592413</v>
      </c>
      <c r="AE99" s="54"/>
      <c r="AF99" s="142">
        <f t="shared" si="157"/>
        <v>0.73</v>
      </c>
      <c r="AG99" s="112">
        <f t="shared" si="158"/>
        <v>2371941.8074719585</v>
      </c>
      <c r="AI99" s="146">
        <f t="shared" si="159"/>
        <v>0</v>
      </c>
      <c r="AJ99" s="112">
        <f t="shared" si="159"/>
        <v>63736.854427812621</v>
      </c>
      <c r="AK99" s="54"/>
      <c r="AL99" s="142">
        <f t="shared" si="160"/>
        <v>0</v>
      </c>
      <c r="AM99" s="112">
        <f t="shared" si="160"/>
        <v>75601.995415537152</v>
      </c>
      <c r="AN99" s="54"/>
      <c r="AO99" s="146">
        <f t="shared" si="161"/>
        <v>0</v>
      </c>
      <c r="AP99" s="112">
        <f t="shared" si="161"/>
        <v>-77656.190684497822</v>
      </c>
      <c r="AQ99" s="54"/>
      <c r="AR99" s="142">
        <f t="shared" si="162"/>
        <v>0</v>
      </c>
      <c r="AS99" s="112">
        <f t="shared" si="162"/>
        <v>-93828.339115798939</v>
      </c>
      <c r="AU99" s="146">
        <v>0.73</v>
      </c>
      <c r="AV99" s="112">
        <v>2201037.6262314287</v>
      </c>
      <c r="AW99" s="54"/>
      <c r="AX99" s="142">
        <v>0.73</v>
      </c>
      <c r="AY99" s="112">
        <v>2296339.8120564213</v>
      </c>
      <c r="BA99" s="146">
        <v>0.73</v>
      </c>
      <c r="BB99" s="112">
        <v>2342430.6713437391</v>
      </c>
      <c r="BC99" s="54"/>
      <c r="BD99" s="142">
        <v>0.73</v>
      </c>
      <c r="BE99" s="112">
        <v>2465770.1465877574</v>
      </c>
    </row>
    <row r="100" spans="2:57" hidden="1" outlineLevel="1" x14ac:dyDescent="0.4">
      <c r="C100" s="56" t="s">
        <v>19</v>
      </c>
      <c r="D100" s="57"/>
      <c r="E100" s="142">
        <f t="shared" si="148"/>
        <v>0.9254917897531928</v>
      </c>
      <c r="F100" s="112">
        <f t="shared" si="149"/>
        <v>3315392.8102576775</v>
      </c>
      <c r="G100" s="54"/>
      <c r="H100" s="142"/>
      <c r="I100" s="112"/>
      <c r="J100" s="54"/>
      <c r="K100" s="142">
        <f t="shared" si="163"/>
        <v>1.0709186101856227E-2</v>
      </c>
      <c r="L100" s="145">
        <f t="shared" si="163"/>
        <v>1.0803013569471887E-2</v>
      </c>
      <c r="M100" s="54"/>
      <c r="N100" s="142"/>
      <c r="O100" s="112"/>
      <c r="P100" s="54"/>
      <c r="R100" s="104"/>
      <c r="S100" s="54"/>
      <c r="T100" s="142">
        <f t="shared" si="150"/>
        <v>0.92182057936754369</v>
      </c>
      <c r="U100" s="70">
        <f t="shared" si="164"/>
        <v>3564515.5722492663</v>
      </c>
      <c r="V100" s="54"/>
      <c r="W100" s="142">
        <f t="shared" si="151"/>
        <v>0.92146076147648937</v>
      </c>
      <c r="X100" s="112">
        <f t="shared" si="152"/>
        <v>3849386.8206123505</v>
      </c>
      <c r="Y100" s="54"/>
      <c r="Z100" s="142">
        <f t="shared" si="153"/>
        <v>0.9208221980661081</v>
      </c>
      <c r="AA100" s="112">
        <f t="shared" si="154"/>
        <v>3954746.1642226726</v>
      </c>
      <c r="AB100" s="54"/>
      <c r="AC100" s="142">
        <f t="shared" si="155"/>
        <v>0.9199799604389105</v>
      </c>
      <c r="AD100" s="112">
        <f t="shared" si="156"/>
        <v>4116383.7970099379</v>
      </c>
      <c r="AE100" s="54"/>
      <c r="AF100" s="142">
        <f t="shared" si="157"/>
        <v>0.91919815738920274</v>
      </c>
      <c r="AG100" s="112">
        <f t="shared" si="158"/>
        <v>4313210.2333299015</v>
      </c>
      <c r="AI100" s="146">
        <f t="shared" si="159"/>
        <v>2.4056664380360804E-3</v>
      </c>
      <c r="AJ100" s="112">
        <f t="shared" si="159"/>
        <v>168707.95446572686</v>
      </c>
      <c r="AK100" s="54"/>
      <c r="AL100" s="142">
        <f t="shared" si="160"/>
        <v>2.8970708831560499E-3</v>
      </c>
      <c r="AM100" s="112">
        <f t="shared" si="160"/>
        <v>201391.68022659281</v>
      </c>
      <c r="AN100" s="54"/>
      <c r="AO100" s="146">
        <f t="shared" si="161"/>
        <v>-2.7168803265364971E-5</v>
      </c>
      <c r="AP100" s="112">
        <f t="shared" si="161"/>
        <v>-142317.87885360187</v>
      </c>
      <c r="AQ100" s="54"/>
      <c r="AR100" s="142">
        <f t="shared" si="162"/>
        <v>-7.5201926630685811E-5</v>
      </c>
      <c r="AS100" s="112">
        <f t="shared" si="162"/>
        <v>-170521.9706190899</v>
      </c>
      <c r="AU100" s="146">
        <v>0.91757429400087442</v>
      </c>
      <c r="AV100" s="112">
        <v>3947675.8425442111</v>
      </c>
      <c r="AW100" s="54"/>
      <c r="AX100" s="142">
        <v>0.91630108650604669</v>
      </c>
      <c r="AY100" s="112">
        <v>4111818.5531033087</v>
      </c>
      <c r="BA100" s="146">
        <v>0.92000712924217587</v>
      </c>
      <c r="BB100" s="112">
        <v>4258701.6758635398</v>
      </c>
      <c r="BC100" s="54"/>
      <c r="BD100" s="142">
        <v>0.91927335931583343</v>
      </c>
      <c r="BE100" s="112">
        <v>4483732.2039489914</v>
      </c>
    </row>
    <row r="101" spans="2:57" hidden="1" outlineLevel="1" x14ac:dyDescent="0.4">
      <c r="C101" s="56" t="s">
        <v>20</v>
      </c>
      <c r="D101" s="57"/>
      <c r="E101" s="142">
        <f t="shared" si="148"/>
        <v>0.69350654837349768</v>
      </c>
      <c r="F101" s="112">
        <f t="shared" si="149"/>
        <v>422142.98442779458</v>
      </c>
      <c r="G101" s="54"/>
      <c r="H101" s="142"/>
      <c r="I101" s="112"/>
      <c r="J101" s="54"/>
      <c r="K101" s="142">
        <f t="shared" si="163"/>
        <v>1.079768416983895E-2</v>
      </c>
      <c r="L101" s="145">
        <f t="shared" si="163"/>
        <v>1.0809016795840121E-2</v>
      </c>
      <c r="M101" s="54"/>
      <c r="N101" s="142"/>
      <c r="O101" s="112"/>
      <c r="P101" s="54"/>
      <c r="R101" s="104"/>
      <c r="S101" s="54"/>
      <c r="T101" s="142">
        <f t="shared" si="150"/>
        <v>0.69278809281756604</v>
      </c>
      <c r="U101" s="112">
        <f t="shared" si="164"/>
        <v>442410.63948238821</v>
      </c>
      <c r="V101" s="54"/>
      <c r="W101" s="142">
        <f t="shared" si="151"/>
        <v>0.69206380792328337</v>
      </c>
      <c r="X101" s="112">
        <f t="shared" si="152"/>
        <v>464333.2115521119</v>
      </c>
      <c r="Y101" s="54"/>
      <c r="Z101" s="142">
        <f t="shared" si="153"/>
        <v>0.69053795838754095</v>
      </c>
      <c r="AA101" s="112">
        <f t="shared" si="154"/>
        <v>468649.72510422789</v>
      </c>
      <c r="AB101" s="54"/>
      <c r="AC101" s="142">
        <f t="shared" si="155"/>
        <v>0.68840680093796525</v>
      </c>
      <c r="AD101" s="112">
        <f t="shared" si="156"/>
        <v>476232.82967911044</v>
      </c>
      <c r="AE101" s="54"/>
      <c r="AF101" s="142">
        <f t="shared" si="157"/>
        <v>0.68635122210165866</v>
      </c>
      <c r="AG101" s="112">
        <f t="shared" si="158"/>
        <v>486323.22449439578</v>
      </c>
      <c r="AI101" s="146">
        <f t="shared" si="159"/>
        <v>5.0708218279370776E-2</v>
      </c>
      <c r="AJ101" s="112">
        <f t="shared" si="159"/>
        <v>58187.86676604097</v>
      </c>
      <c r="AK101" s="54"/>
      <c r="AL101" s="142">
        <f t="shared" si="160"/>
        <v>6.3797943230761711E-2</v>
      </c>
      <c r="AM101" s="112">
        <f t="shared" si="160"/>
        <v>51534.001890323299</v>
      </c>
      <c r="AN101" s="54"/>
      <c r="AO101" s="146">
        <f t="shared" si="161"/>
        <v>-5.2899270379191954E-4</v>
      </c>
      <c r="AP101" s="112">
        <f t="shared" si="161"/>
        <v>-50187.358175351867</v>
      </c>
      <c r="AQ101" s="54"/>
      <c r="AR101" s="142">
        <f t="shared" si="162"/>
        <v>-7.3543710769607973E-4</v>
      </c>
      <c r="AS101" s="112">
        <f t="shared" si="162"/>
        <v>-48966.677433269098</v>
      </c>
      <c r="AU101" s="146">
        <v>0.63769858265859447</v>
      </c>
      <c r="AV101" s="112">
        <v>418044.96291306947</v>
      </c>
      <c r="AW101" s="54"/>
      <c r="AX101" s="142">
        <v>0.62255327887089695</v>
      </c>
      <c r="AY101" s="112">
        <v>434789.22260407248</v>
      </c>
      <c r="BA101" s="146">
        <v>0.68893579364175717</v>
      </c>
      <c r="BB101" s="112">
        <v>526420.1878544623</v>
      </c>
      <c r="BC101" s="54"/>
      <c r="BD101" s="142">
        <v>0.68708665920935474</v>
      </c>
      <c r="BE101" s="112">
        <v>535289.90192766488</v>
      </c>
    </row>
    <row r="102" spans="2:57" hidden="1" outlineLevel="1" x14ac:dyDescent="0.4">
      <c r="C102" s="56" t="s">
        <v>21</v>
      </c>
      <c r="D102" s="57"/>
      <c r="E102" s="142">
        <f t="shared" si="148"/>
        <v>0.51055541123058656</v>
      </c>
      <c r="F102" s="112">
        <f t="shared" si="149"/>
        <v>141180.98524426189</v>
      </c>
      <c r="G102" s="54"/>
      <c r="H102" s="142"/>
      <c r="I102" s="112"/>
      <c r="J102" s="54"/>
      <c r="K102" s="142">
        <f t="shared" si="163"/>
        <v>1.0800050140430395E-2</v>
      </c>
      <c r="L102" s="145">
        <f t="shared" si="163"/>
        <v>1.0821342216126739E-2</v>
      </c>
      <c r="M102" s="54"/>
      <c r="N102" s="142"/>
      <c r="O102" s="112"/>
      <c r="P102" s="54"/>
      <c r="R102" s="104"/>
      <c r="S102" s="54"/>
      <c r="T102" s="142">
        <f t="shared" si="150"/>
        <v>0.58543051837033389</v>
      </c>
      <c r="U102" s="112">
        <f t="shared" si="164"/>
        <v>190257.15135640226</v>
      </c>
      <c r="V102" s="54"/>
      <c r="W102" s="142">
        <f t="shared" si="151"/>
        <v>0.58555124268385805</v>
      </c>
      <c r="X102" s="112">
        <f t="shared" si="152"/>
        <v>199422.31995905726</v>
      </c>
      <c r="Y102" s="54"/>
      <c r="Z102" s="142">
        <f t="shared" si="153"/>
        <v>0.58607359492785827</v>
      </c>
      <c r="AA102" s="112">
        <f t="shared" si="154"/>
        <v>202919.71367943002</v>
      </c>
      <c r="AB102" s="54"/>
      <c r="AC102" s="142">
        <f t="shared" si="155"/>
        <v>0.58587964112806845</v>
      </c>
      <c r="AD102" s="112">
        <f t="shared" si="156"/>
        <v>207721.16635474045</v>
      </c>
      <c r="AE102" s="54"/>
      <c r="AF102" s="142">
        <f t="shared" si="157"/>
        <v>0.58482248330050113</v>
      </c>
      <c r="AG102" s="112">
        <f t="shared" si="158"/>
        <v>212786.08106537786</v>
      </c>
      <c r="AI102" s="146">
        <f t="shared" si="159"/>
        <v>1.6016989059606024E-2</v>
      </c>
      <c r="AJ102" s="112">
        <f t="shared" si="159"/>
        <v>12900.582686676033</v>
      </c>
      <c r="AK102" s="54"/>
      <c r="AL102" s="142">
        <f t="shared" si="160"/>
        <v>2.0774073023601347E-2</v>
      </c>
      <c r="AM102" s="112">
        <f t="shared" si="160"/>
        <v>16904.883493822417</v>
      </c>
      <c r="AN102" s="54"/>
      <c r="AO102" s="146">
        <f t="shared" si="161"/>
        <v>0</v>
      </c>
      <c r="AP102" s="112">
        <f t="shared" si="161"/>
        <v>-3449.8657602384046</v>
      </c>
      <c r="AQ102" s="54"/>
      <c r="AR102" s="142">
        <f t="shared" si="162"/>
        <v>5.1078493201739406E-7</v>
      </c>
      <c r="AS102" s="112">
        <f t="shared" si="162"/>
        <v>-2492.3576347909693</v>
      </c>
      <c r="AU102" s="146">
        <v>0.56986265206846243</v>
      </c>
      <c r="AV102" s="112">
        <v>194820.58366806441</v>
      </c>
      <c r="AW102" s="54"/>
      <c r="AX102" s="142">
        <v>0.56404841027689978</v>
      </c>
      <c r="AY102" s="112">
        <v>195881.19757155544</v>
      </c>
      <c r="BA102" s="146">
        <v>0.58587964112806845</v>
      </c>
      <c r="BB102" s="112">
        <v>211171.03211497885</v>
      </c>
      <c r="BC102" s="54"/>
      <c r="BD102" s="142">
        <v>0.58482197251556911</v>
      </c>
      <c r="BE102" s="112">
        <v>215278.43870016883</v>
      </c>
    </row>
    <row r="103" spans="2:57" hidden="1" outlineLevel="1" x14ac:dyDescent="0.4">
      <c r="C103" s="56" t="s">
        <v>22</v>
      </c>
      <c r="D103" s="57"/>
      <c r="E103" s="142">
        <f t="shared" si="148"/>
        <v>0.74892237843964626</v>
      </c>
      <c r="F103" s="112">
        <f t="shared" si="149"/>
        <v>521511.22431929136</v>
      </c>
      <c r="G103" s="54"/>
      <c r="H103" s="142"/>
      <c r="I103" s="112"/>
      <c r="J103" s="54"/>
      <c r="K103" s="142">
        <f t="shared" si="163"/>
        <v>8.7719298245614308E-3</v>
      </c>
      <c r="L103" s="145">
        <f t="shared" si="163"/>
        <v>1.0800573045248063E-2</v>
      </c>
      <c r="M103" s="54"/>
      <c r="N103" s="142"/>
      <c r="O103" s="112"/>
      <c r="P103" s="54"/>
      <c r="R103" s="104"/>
      <c r="S103" s="54"/>
      <c r="T103" s="142">
        <f t="shared" si="150"/>
        <v>0.70811017819126176</v>
      </c>
      <c r="U103" s="112">
        <f t="shared" si="164"/>
        <v>609547.37660351628</v>
      </c>
      <c r="V103" s="54"/>
      <c r="W103" s="142">
        <f t="shared" si="151"/>
        <v>0.59188715346851317</v>
      </c>
      <c r="X103" s="112">
        <f t="shared" si="152"/>
        <v>412562.08585068985</v>
      </c>
      <c r="Y103" s="54"/>
      <c r="Z103" s="142">
        <f t="shared" si="153"/>
        <v>0.56847209496575835</v>
      </c>
      <c r="AA103" s="112">
        <f t="shared" si="154"/>
        <v>401338.9567164568</v>
      </c>
      <c r="AB103" s="54"/>
      <c r="AC103" s="142">
        <f t="shared" si="155"/>
        <v>0.56861777520069889</v>
      </c>
      <c r="AD103" s="112">
        <f t="shared" si="156"/>
        <v>422977.84952777758</v>
      </c>
      <c r="AE103" s="54"/>
      <c r="AF103" s="142">
        <f t="shared" si="157"/>
        <v>0.5681011135973697</v>
      </c>
      <c r="AG103" s="112">
        <f t="shared" si="158"/>
        <v>448274.66538005526</v>
      </c>
      <c r="AI103" s="146">
        <f t="shared" si="159"/>
        <v>8.0844038689971143E-3</v>
      </c>
      <c r="AJ103" s="112">
        <f t="shared" si="159"/>
        <v>12615.825443645415</v>
      </c>
      <c r="AK103" s="54"/>
      <c r="AL103" s="142">
        <f t="shared" si="160"/>
        <v>2.3000243769731865E-3</v>
      </c>
      <c r="AM103" s="112">
        <f t="shared" si="160"/>
        <v>3296.5022315002279</v>
      </c>
      <c r="AN103" s="54"/>
      <c r="AO103" s="146">
        <f t="shared" si="161"/>
        <v>0</v>
      </c>
      <c r="AP103" s="112">
        <f t="shared" si="161"/>
        <v>-13270.057793802931</v>
      </c>
      <c r="AQ103" s="54"/>
      <c r="AR103" s="142">
        <f t="shared" si="162"/>
        <v>-1.2319838616114964E-4</v>
      </c>
      <c r="AS103" s="112">
        <f t="shared" si="162"/>
        <v>-11221.636868874775</v>
      </c>
      <c r="AU103" s="146">
        <v>0.56053337133170178</v>
      </c>
      <c r="AV103" s="112">
        <v>410362.02408413216</v>
      </c>
      <c r="AW103" s="54"/>
      <c r="AX103" s="142">
        <v>0.56580108922039651</v>
      </c>
      <c r="AY103" s="112">
        <v>444978.16314855503</v>
      </c>
      <c r="BA103" s="146">
        <v>0.568617775200699</v>
      </c>
      <c r="BB103" s="112">
        <v>436247.90732158051</v>
      </c>
      <c r="BC103" s="54"/>
      <c r="BD103" s="142">
        <v>0.56822431198353085</v>
      </c>
      <c r="BE103" s="112">
        <v>459496.30224893003</v>
      </c>
    </row>
    <row r="104" spans="2:57" hidden="1" outlineLevel="1" x14ac:dyDescent="0.4">
      <c r="C104" s="56" t="s">
        <v>23</v>
      </c>
      <c r="D104" s="57"/>
      <c r="E104" s="142">
        <f t="shared" si="148"/>
        <v>0.77717751990548278</v>
      </c>
      <c r="F104" s="112">
        <f t="shared" si="149"/>
        <v>42584.013538605621</v>
      </c>
      <c r="G104" s="54"/>
      <c r="H104" s="142"/>
      <c r="I104" s="112"/>
      <c r="J104" s="54"/>
      <c r="K104" s="142">
        <f t="shared" si="163"/>
        <v>1.2307692307692353E-2</v>
      </c>
      <c r="L104" s="145">
        <f t="shared" si="163"/>
        <v>9.6258833954818712E-3</v>
      </c>
      <c r="M104" s="54"/>
      <c r="N104" s="142"/>
      <c r="O104" s="112"/>
      <c r="P104" s="54"/>
      <c r="R104" s="104"/>
      <c r="S104" s="54"/>
      <c r="T104" s="142">
        <f t="shared" si="150"/>
        <v>0.75499799764123987</v>
      </c>
      <c r="U104" s="112">
        <f t="shared" si="164"/>
        <v>44580.325572856891</v>
      </c>
      <c r="V104" s="54"/>
      <c r="W104" s="142">
        <f t="shared" si="151"/>
        <v>0.75376604250880741</v>
      </c>
      <c r="X104" s="112">
        <f t="shared" si="152"/>
        <v>47403.236846219574</v>
      </c>
      <c r="Y104" s="54"/>
      <c r="Z104" s="142">
        <f t="shared" si="153"/>
        <v>0.75270954372242171</v>
      </c>
      <c r="AA104" s="112">
        <f t="shared" si="154"/>
        <v>48217.248812003534</v>
      </c>
      <c r="AB104" s="54"/>
      <c r="AC104" s="142">
        <f t="shared" si="155"/>
        <v>0.75125572169579125</v>
      </c>
      <c r="AD104" s="112">
        <f t="shared" si="156"/>
        <v>49502.39370446228</v>
      </c>
      <c r="AE104" s="54"/>
      <c r="AF104" s="142">
        <f t="shared" si="157"/>
        <v>0.74864860458821492</v>
      </c>
      <c r="AG104" s="112">
        <f t="shared" si="158"/>
        <v>50803.620962442321</v>
      </c>
      <c r="AI104" s="146">
        <f t="shared" si="159"/>
        <v>-1.5575182728103099E-2</v>
      </c>
      <c r="AJ104" s="112">
        <f t="shared" si="159"/>
        <v>1538.4274470205564</v>
      </c>
      <c r="AK104" s="54"/>
      <c r="AL104" s="142">
        <f t="shared" si="160"/>
        <v>-2.2680144384789713E-2</v>
      </c>
      <c r="AM104" s="112">
        <f t="shared" si="160"/>
        <v>-162.82838403635833</v>
      </c>
      <c r="AN104" s="54"/>
      <c r="AO104" s="146">
        <f t="shared" si="161"/>
        <v>0</v>
      </c>
      <c r="AP104" s="112">
        <f t="shared" si="161"/>
        <v>-1815.4635404804503</v>
      </c>
      <c r="AQ104" s="54"/>
      <c r="AR104" s="142">
        <f t="shared" si="162"/>
        <v>-5.0350910289709283E-5</v>
      </c>
      <c r="AS104" s="112">
        <f t="shared" si="162"/>
        <v>-1532.9482985827854</v>
      </c>
      <c r="AU104" s="146">
        <v>0.76683090442389434</v>
      </c>
      <c r="AV104" s="112">
        <v>47963.966257441723</v>
      </c>
      <c r="AW104" s="54"/>
      <c r="AX104" s="142">
        <v>0.77132874897300463</v>
      </c>
      <c r="AY104" s="112">
        <v>50966.449346478679</v>
      </c>
      <c r="BA104" s="146">
        <v>0.75125572169579125</v>
      </c>
      <c r="BB104" s="112">
        <v>51317.85724494273</v>
      </c>
      <c r="BC104" s="54"/>
      <c r="BD104" s="142">
        <v>0.74869895549850463</v>
      </c>
      <c r="BE104" s="112">
        <v>52336.569261025106</v>
      </c>
    </row>
    <row r="105" spans="2:57" hidden="1" outlineLevel="1" x14ac:dyDescent="0.4">
      <c r="C105" s="56" t="s">
        <v>24</v>
      </c>
      <c r="D105" s="57"/>
      <c r="E105" s="142">
        <f t="shared" si="148"/>
        <v>0.38139041260293705</v>
      </c>
      <c r="F105" s="112">
        <f t="shared" si="149"/>
        <v>696.46739800217529</v>
      </c>
      <c r="G105" s="54"/>
      <c r="H105" s="142"/>
      <c r="I105" s="112"/>
      <c r="J105" s="54"/>
      <c r="K105" s="142">
        <f t="shared" si="163"/>
        <v>1.1848341232227444E-2</v>
      </c>
      <c r="L105" s="145">
        <f t="shared" si="163"/>
        <v>1.0814672933867842E-2</v>
      </c>
      <c r="M105" s="54"/>
      <c r="N105" s="142"/>
      <c r="O105" s="112"/>
      <c r="P105" s="54"/>
      <c r="R105" s="104"/>
      <c r="S105" s="54"/>
      <c r="T105" s="142">
        <f t="shared" si="150"/>
        <v>0.33968478848935457</v>
      </c>
      <c r="U105" s="112">
        <f t="shared" si="164"/>
        <v>702.44589381919536</v>
      </c>
      <c r="V105" s="54"/>
      <c r="W105" s="142">
        <f t="shared" si="151"/>
        <v>0.33738122482181465</v>
      </c>
      <c r="X105" s="112">
        <f t="shared" si="152"/>
        <v>721.63995574518071</v>
      </c>
      <c r="Y105" s="54"/>
      <c r="Z105" s="142">
        <f t="shared" si="153"/>
        <v>0.33576447768486961</v>
      </c>
      <c r="AA105" s="112">
        <f t="shared" si="154"/>
        <v>708.59912390456361</v>
      </c>
      <c r="AB105" s="54"/>
      <c r="AC105" s="142">
        <f t="shared" si="155"/>
        <v>0.33378563023401053</v>
      </c>
      <c r="AD105" s="112">
        <f t="shared" si="156"/>
        <v>702.33666345322422</v>
      </c>
      <c r="AE105" s="54"/>
      <c r="AF105" s="142">
        <f t="shared" si="157"/>
        <v>0.33102081183801624</v>
      </c>
      <c r="AG105" s="112">
        <f t="shared" si="158"/>
        <v>697.48923478367738</v>
      </c>
      <c r="AI105" s="146">
        <f t="shared" si="159"/>
        <v>-2.8852521327693559E-3</v>
      </c>
      <c r="AJ105" s="112">
        <f t="shared" si="159"/>
        <v>-67.087635623910046</v>
      </c>
      <c r="AK105" s="54"/>
      <c r="AL105" s="142">
        <f t="shared" si="160"/>
        <v>-2.9471411263491953E-3</v>
      </c>
      <c r="AM105" s="112">
        <f t="shared" si="160"/>
        <v>-72.558333701227525</v>
      </c>
      <c r="AN105" s="54"/>
      <c r="AO105" s="146">
        <f t="shared" si="161"/>
        <v>0</v>
      </c>
      <c r="AP105" s="112">
        <f t="shared" si="161"/>
        <v>-16.180853238289387</v>
      </c>
      <c r="AQ105" s="54"/>
      <c r="AR105" s="142">
        <f t="shared" si="162"/>
        <v>8.3019970627429274E-5</v>
      </c>
      <c r="AS105" s="112">
        <f t="shared" si="162"/>
        <v>-11.213087530011762</v>
      </c>
      <c r="AU105" s="146">
        <v>0.33667088236677989</v>
      </c>
      <c r="AV105" s="112">
        <v>769.42429907713426</v>
      </c>
      <c r="AW105" s="54"/>
      <c r="AX105" s="142">
        <v>0.33396795296436543</v>
      </c>
      <c r="AY105" s="112">
        <v>770.0475684849049</v>
      </c>
      <c r="BA105" s="146">
        <v>0.33378563023401053</v>
      </c>
      <c r="BB105" s="112">
        <v>718.51751669151361</v>
      </c>
      <c r="BC105" s="54"/>
      <c r="BD105" s="142">
        <v>0.33093779186738881</v>
      </c>
      <c r="BE105" s="112">
        <v>708.70232231368914</v>
      </c>
    </row>
    <row r="106" spans="2:57" hidden="1" outlineLevel="1" x14ac:dyDescent="0.4">
      <c r="C106" s="64" t="s">
        <v>25</v>
      </c>
      <c r="D106" s="65"/>
      <c r="E106" s="63"/>
      <c r="F106" s="102">
        <f>SUM(F98:F105)</f>
        <v>12444680.508322611</v>
      </c>
      <c r="G106" s="54"/>
      <c r="H106" s="143"/>
      <c r="I106" s="70"/>
      <c r="J106" s="54"/>
      <c r="K106" s="143"/>
      <c r="L106" s="70"/>
      <c r="M106" s="54"/>
      <c r="N106" s="143"/>
      <c r="O106" s="70"/>
      <c r="P106" s="54"/>
      <c r="R106" s="104"/>
      <c r="S106" s="54"/>
      <c r="T106" s="143"/>
      <c r="U106" s="102">
        <f>SUM(U98:U105)</f>
        <v>13250117.43407084</v>
      </c>
      <c r="V106" s="54"/>
      <c r="W106" s="143"/>
      <c r="X106" s="102">
        <f>SUM(X98:X105)</f>
        <v>14047909.317007937</v>
      </c>
      <c r="Y106" s="54"/>
      <c r="Z106" s="143"/>
      <c r="AA106" s="102">
        <f>SUM(AA98:AA105)</f>
        <v>12627043.940842329</v>
      </c>
      <c r="AB106" s="54"/>
      <c r="AC106" s="143"/>
      <c r="AD106" s="102">
        <f>SUM(AD98:AD105)</f>
        <v>11291072.67531069</v>
      </c>
      <c r="AE106" s="54"/>
      <c r="AF106" s="143"/>
      <c r="AG106" s="102">
        <f>SUM(AG98:AG105)</f>
        <v>9865016.2470588125</v>
      </c>
      <c r="AI106" s="144"/>
      <c r="AJ106" s="102">
        <f>SUM(AJ98:AJ105)</f>
        <v>334738.19420211192</v>
      </c>
      <c r="AK106" s="54"/>
      <c r="AL106" s="143"/>
      <c r="AM106" s="102">
        <f>SUM(AM98:AM105)</f>
        <v>359704.72928619757</v>
      </c>
      <c r="AN106" s="54"/>
      <c r="AO106" s="144"/>
      <c r="AP106" s="102">
        <f>SUM(AP98:AP105)</f>
        <v>-415505.02627905266</v>
      </c>
      <c r="AQ106" s="54"/>
      <c r="AR106" s="143"/>
      <c r="AS106" s="102">
        <f>SUM(AS98:AS105)</f>
        <v>-405915.0536375005</v>
      </c>
      <c r="AU106" s="144"/>
      <c r="AV106" s="102">
        <v>10956334.481108578</v>
      </c>
      <c r="AW106" s="54"/>
      <c r="AX106" s="143"/>
      <c r="AY106" s="102">
        <v>9505311.5177726187</v>
      </c>
      <c r="BA106" s="144"/>
      <c r="BB106" s="102">
        <v>11706577.701589741</v>
      </c>
      <c r="BC106" s="54"/>
      <c r="BD106" s="143"/>
      <c r="BE106" s="102">
        <v>10270931.300696317</v>
      </c>
    </row>
    <row r="107" spans="2:57" hidden="1" outlineLevel="1" x14ac:dyDescent="0.4">
      <c r="C107" s="39"/>
      <c r="D107" s="39"/>
      <c r="E107" s="52"/>
      <c r="F107" s="53"/>
      <c r="G107" s="54"/>
      <c r="H107" s="147" t="s">
        <v>12</v>
      </c>
      <c r="I107" s="148"/>
      <c r="J107" s="54"/>
      <c r="K107" s="147" t="s">
        <v>12</v>
      </c>
      <c r="L107" s="148"/>
      <c r="M107" s="54"/>
      <c r="N107" s="147" t="s">
        <v>12</v>
      </c>
      <c r="O107" s="148"/>
      <c r="P107" s="54"/>
      <c r="Q107" s="147" t="s">
        <v>12</v>
      </c>
      <c r="R107" s="148"/>
      <c r="S107" s="54"/>
      <c r="T107" s="20"/>
      <c r="U107" s="53"/>
      <c r="V107" s="54"/>
      <c r="W107" s="20"/>
      <c r="X107" s="53"/>
      <c r="Y107" s="54"/>
      <c r="Z107" s="20"/>
      <c r="AA107" s="53"/>
      <c r="AB107" s="54"/>
      <c r="AC107" s="20"/>
      <c r="AD107" s="53"/>
      <c r="AE107" s="54"/>
      <c r="AF107" s="20"/>
      <c r="AG107" s="53"/>
      <c r="AI107" s="69"/>
      <c r="AJ107" s="149" t="s">
        <v>53</v>
      </c>
      <c r="AK107" s="54"/>
      <c r="AL107" s="20"/>
      <c r="AM107" s="149" t="s">
        <v>53</v>
      </c>
      <c r="AN107" s="54"/>
      <c r="AO107" s="69"/>
      <c r="AP107" s="53"/>
      <c r="AQ107" s="54"/>
      <c r="AR107" s="20"/>
      <c r="AS107" s="53"/>
      <c r="AU107" s="69"/>
      <c r="AV107" s="53"/>
      <c r="AW107" s="54"/>
      <c r="AX107" s="20"/>
      <c r="AY107" s="53"/>
      <c r="BA107" s="69"/>
      <c r="BB107" s="53"/>
      <c r="BC107" s="54"/>
      <c r="BD107" s="20"/>
      <c r="BE107" s="53"/>
    </row>
    <row r="108" spans="2:57" hidden="1" outlineLevel="1" x14ac:dyDescent="0.4">
      <c r="B108" s="103" t="s">
        <v>54</v>
      </c>
      <c r="E108" s="150" t="s">
        <v>55</v>
      </c>
      <c r="F108" s="151" t="s">
        <v>56</v>
      </c>
      <c r="H108" s="150" t="s">
        <v>55</v>
      </c>
      <c r="I108" s="151" t="s">
        <v>56</v>
      </c>
      <c r="K108" s="150" t="s">
        <v>55</v>
      </c>
      <c r="L108" s="151" t="s">
        <v>56</v>
      </c>
      <c r="N108" s="150" t="s">
        <v>55</v>
      </c>
      <c r="O108" s="151" t="s">
        <v>56</v>
      </c>
      <c r="Q108" s="150" t="s">
        <v>55</v>
      </c>
      <c r="R108" s="151" t="s">
        <v>56</v>
      </c>
      <c r="T108" s="150" t="s">
        <v>55</v>
      </c>
      <c r="U108" s="151" t="s">
        <v>56</v>
      </c>
      <c r="W108" s="150" t="s">
        <v>55</v>
      </c>
      <c r="X108" s="151" t="s">
        <v>56</v>
      </c>
      <c r="Z108" s="150" t="s">
        <v>55</v>
      </c>
      <c r="AA108" s="151" t="s">
        <v>56</v>
      </c>
      <c r="AC108" s="150" t="s">
        <v>55</v>
      </c>
      <c r="AD108" s="151" t="s">
        <v>56</v>
      </c>
      <c r="AF108" s="150" t="s">
        <v>55</v>
      </c>
      <c r="AG108" s="151" t="s">
        <v>56</v>
      </c>
      <c r="AI108" s="152" t="s">
        <v>55</v>
      </c>
      <c r="AJ108" s="151" t="s">
        <v>56</v>
      </c>
      <c r="AL108" s="150" t="s">
        <v>55</v>
      </c>
      <c r="AM108" s="151" t="s">
        <v>56</v>
      </c>
      <c r="AO108" s="152" t="s">
        <v>55</v>
      </c>
      <c r="AP108" s="151" t="s">
        <v>56</v>
      </c>
      <c r="AR108" s="150" t="s">
        <v>55</v>
      </c>
      <c r="AS108" s="151" t="s">
        <v>56</v>
      </c>
      <c r="AU108" s="152" t="s">
        <v>55</v>
      </c>
      <c r="AV108" s="151" t="s">
        <v>56</v>
      </c>
      <c r="AX108" s="150" t="s">
        <v>55</v>
      </c>
      <c r="AY108" s="151" t="s">
        <v>56</v>
      </c>
      <c r="BA108" s="152" t="s">
        <v>55</v>
      </c>
      <c r="BB108" s="151" t="s">
        <v>56</v>
      </c>
      <c r="BD108" s="150" t="s">
        <v>55</v>
      </c>
      <c r="BE108" s="151" t="s">
        <v>56</v>
      </c>
    </row>
    <row r="109" spans="2:57" hidden="1" outlineLevel="1" x14ac:dyDescent="0.4">
      <c r="C109" s="56" t="s">
        <v>17</v>
      </c>
      <c r="D109" s="57"/>
      <c r="E109" s="153">
        <f t="shared" ref="E109:E116" si="165">ROUND(F87/F19/12,2)</f>
        <v>8.25</v>
      </c>
      <c r="F109" s="154">
        <f>F98/F30</f>
        <v>1.1710802591550927E-2</v>
      </c>
      <c r="G109" s="54"/>
      <c r="H109" s="153">
        <v>8.25</v>
      </c>
      <c r="I109" s="154">
        <v>1.1710802591550927E-2</v>
      </c>
      <c r="J109" s="54"/>
      <c r="K109" s="153">
        <v>8.34</v>
      </c>
      <c r="L109" s="154">
        <v>1.18E-2</v>
      </c>
      <c r="M109" s="54"/>
      <c r="N109" s="153">
        <v>8.4700000000000006</v>
      </c>
      <c r="O109" s="154">
        <v>1.2E-2</v>
      </c>
      <c r="P109" s="54"/>
      <c r="Q109" s="153">
        <v>8.4700000000000006</v>
      </c>
      <c r="R109" s="154">
        <v>1.2E-2</v>
      </c>
      <c r="S109" s="54"/>
      <c r="T109" s="153">
        <f t="shared" ref="T109:T115" si="166">ROUND(U87/U19/12,2)</f>
        <v>10.5</v>
      </c>
      <c r="U109" s="154">
        <f>ROUND(U98/U30,4)</f>
        <v>1.32E-2</v>
      </c>
      <c r="V109" s="54"/>
      <c r="W109" s="153">
        <f t="shared" ref="W109:W115" si="167">ROUND(X87/X19/12,2)</f>
        <v>11.21</v>
      </c>
      <c r="X109" s="154">
        <f>ROUND(X98/X30,4)</f>
        <v>1.4200000000000001E-2</v>
      </c>
      <c r="Y109" s="54"/>
      <c r="Z109" s="153">
        <f t="shared" ref="Z109:Z115" si="168">ROUND(AA87/AA19/12,2)</f>
        <v>14.22</v>
      </c>
      <c r="AA109" s="154">
        <f>ROUND(AA98/AA30,4)</f>
        <v>1.09E-2</v>
      </c>
      <c r="AB109" s="54"/>
      <c r="AC109" s="155">
        <f t="shared" ref="AC109:AC115" si="169">ROUND(AD87/AD19/12,2)</f>
        <v>17.53</v>
      </c>
      <c r="AD109" s="156">
        <f>ROUND(AD98/AD30,4)</f>
        <v>7.6E-3</v>
      </c>
      <c r="AE109" s="157"/>
      <c r="AF109" s="155">
        <f t="shared" ref="AF109:AF115" si="170">ROUND(AG87/AG19/12,2)</f>
        <v>21.19</v>
      </c>
      <c r="AG109" s="156">
        <f>ROUND(AG98/AG30,4)</f>
        <v>4.0000000000000001E-3</v>
      </c>
      <c r="AI109" s="158">
        <f t="shared" ref="AI109:AJ116" si="171">AC109-AU109</f>
        <v>0.17999999999999972</v>
      </c>
      <c r="AJ109" s="154">
        <f t="shared" si="171"/>
        <v>-1.9999999999999966E-4</v>
      </c>
      <c r="AK109" s="54"/>
      <c r="AL109" s="153">
        <f t="shared" ref="AL109:AM116" si="172">AF109-AX109</f>
        <v>0.22000000000000242</v>
      </c>
      <c r="AM109" s="154">
        <f t="shared" si="172"/>
        <v>-1.0000000000000026E-4</v>
      </c>
      <c r="AN109" s="54"/>
      <c r="AO109" s="158">
        <f t="shared" ref="AO109:AP116" si="173">AC109-BA109</f>
        <v>-0.39999999999999858</v>
      </c>
      <c r="AP109" s="154">
        <f t="shared" si="173"/>
        <v>-1.9999999999999966E-4</v>
      </c>
      <c r="AQ109" s="54"/>
      <c r="AR109" s="153">
        <f t="shared" ref="AR109:AS116" si="174">AF109-BD109</f>
        <v>-0.35999999999999943</v>
      </c>
      <c r="AS109" s="154">
        <f t="shared" si="174"/>
        <v>-1.0000000000000026E-4</v>
      </c>
      <c r="AU109" s="159">
        <v>17.350000000000001</v>
      </c>
      <c r="AV109" s="156">
        <v>7.7999999999999996E-3</v>
      </c>
      <c r="AW109" s="157"/>
      <c r="AX109" s="155">
        <v>20.97</v>
      </c>
      <c r="AY109" s="156">
        <v>4.1000000000000003E-3</v>
      </c>
      <c r="BA109" s="158">
        <v>17.93</v>
      </c>
      <c r="BB109" s="154">
        <v>7.7999999999999996E-3</v>
      </c>
      <c r="BC109" s="54"/>
      <c r="BD109" s="153">
        <v>21.55</v>
      </c>
      <c r="BE109" s="154">
        <v>4.1000000000000003E-3</v>
      </c>
    </row>
    <row r="110" spans="2:57" hidden="1" outlineLevel="1" x14ac:dyDescent="0.4">
      <c r="C110" s="56" t="s">
        <v>18</v>
      </c>
      <c r="D110" s="57"/>
      <c r="E110" s="153">
        <f t="shared" si="165"/>
        <v>8.16</v>
      </c>
      <c r="F110" s="154">
        <f>F99/F31</f>
        <v>1.6530994883572476E-2</v>
      </c>
      <c r="G110" s="54"/>
      <c r="H110" s="153">
        <v>8.16</v>
      </c>
      <c r="I110" s="154">
        <v>1.6530994883572476E-2</v>
      </c>
      <c r="J110" s="54"/>
      <c r="K110" s="153">
        <v>8.25</v>
      </c>
      <c r="L110" s="154">
        <v>1.67E-2</v>
      </c>
      <c r="M110" s="54"/>
      <c r="N110" s="153">
        <v>8.3800000000000008</v>
      </c>
      <c r="O110" s="154">
        <v>1.7000000000000001E-2</v>
      </c>
      <c r="P110" s="54"/>
      <c r="Q110" s="153">
        <v>8.3800000000000008</v>
      </c>
      <c r="R110" s="154">
        <v>1.7000000000000001E-2</v>
      </c>
      <c r="S110" s="54"/>
      <c r="T110" s="153">
        <f t="shared" si="166"/>
        <v>15.21</v>
      </c>
      <c r="U110" s="154">
        <f>ROUND(U99/U31,4)</f>
        <v>1.47E-2</v>
      </c>
      <c r="V110" s="54"/>
      <c r="W110" s="153">
        <f t="shared" si="167"/>
        <v>16.02</v>
      </c>
      <c r="X110" s="154">
        <f>ROUND(X99/X31,4)</f>
        <v>1.5699999999999999E-2</v>
      </c>
      <c r="Y110" s="54"/>
      <c r="Z110" s="153">
        <f t="shared" si="168"/>
        <v>16.239999999999998</v>
      </c>
      <c r="AA110" s="154">
        <f>ROUND(AA99/AA31,4)</f>
        <v>1.61E-2</v>
      </c>
      <c r="AB110" s="54"/>
      <c r="AC110" s="155">
        <f t="shared" si="169"/>
        <v>16.61</v>
      </c>
      <c r="AD110" s="156">
        <f>ROUND(AD99/AD31,4)</f>
        <v>1.67E-2</v>
      </c>
      <c r="AE110" s="157"/>
      <c r="AF110" s="155">
        <f t="shared" si="170"/>
        <v>17.07</v>
      </c>
      <c r="AG110" s="156">
        <f>ROUND(AG99/AG31,4)</f>
        <v>1.7399999999999999E-2</v>
      </c>
      <c r="AI110" s="158">
        <f t="shared" si="171"/>
        <v>0.53999999999999915</v>
      </c>
      <c r="AJ110" s="154">
        <f t="shared" si="171"/>
        <v>-3.0000000000000165E-4</v>
      </c>
      <c r="AK110" s="54"/>
      <c r="AL110" s="153">
        <f t="shared" si="172"/>
        <v>0.60000000000000142</v>
      </c>
      <c r="AM110" s="154">
        <f t="shared" si="172"/>
        <v>-4.0000000000000105E-4</v>
      </c>
      <c r="AN110" s="54"/>
      <c r="AO110" s="158">
        <f t="shared" si="173"/>
        <v>-0.39000000000000057</v>
      </c>
      <c r="AP110" s="154">
        <f t="shared" si="173"/>
        <v>-4.0000000000000105E-4</v>
      </c>
      <c r="AQ110" s="54"/>
      <c r="AR110" s="153">
        <f t="shared" si="174"/>
        <v>-0.30000000000000071</v>
      </c>
      <c r="AS110" s="154">
        <f t="shared" si="174"/>
        <v>-3.0000000000000165E-4</v>
      </c>
      <c r="AU110" s="159">
        <v>16.07</v>
      </c>
      <c r="AV110" s="156">
        <v>1.7000000000000001E-2</v>
      </c>
      <c r="AW110" s="157"/>
      <c r="AX110" s="155">
        <v>16.47</v>
      </c>
      <c r="AY110" s="156">
        <v>1.78E-2</v>
      </c>
      <c r="BA110" s="158">
        <v>17</v>
      </c>
      <c r="BB110" s="154">
        <v>1.7100000000000001E-2</v>
      </c>
      <c r="BC110" s="54"/>
      <c r="BD110" s="153">
        <v>17.37</v>
      </c>
      <c r="BE110" s="154">
        <v>1.77E-2</v>
      </c>
    </row>
    <row r="111" spans="2:57" hidden="1" outlineLevel="1" x14ac:dyDescent="0.4">
      <c r="C111" s="56" t="s">
        <v>19</v>
      </c>
      <c r="D111" s="57"/>
      <c r="E111" s="153">
        <f t="shared" si="165"/>
        <v>42.02</v>
      </c>
      <c r="F111" s="154">
        <f>F100/F43</f>
        <v>3.6140572900546903</v>
      </c>
      <c r="G111" s="54"/>
      <c r="H111" s="153">
        <v>42.02</v>
      </c>
      <c r="I111" s="154">
        <v>3.6140572900546903</v>
      </c>
      <c r="J111" s="54"/>
      <c r="K111" s="153">
        <v>42.47</v>
      </c>
      <c r="L111" s="154">
        <v>3.6530999999999998</v>
      </c>
      <c r="M111" s="54"/>
      <c r="N111" s="153">
        <v>43.13</v>
      </c>
      <c r="O111" s="154">
        <v>3.7097000000000002</v>
      </c>
      <c r="P111" s="54"/>
      <c r="Q111" s="153">
        <v>43.13</v>
      </c>
      <c r="R111" s="154">
        <v>3.7097000000000002</v>
      </c>
      <c r="S111" s="54"/>
      <c r="T111" s="153">
        <f t="shared" si="166"/>
        <v>48.76</v>
      </c>
      <c r="U111" s="154">
        <f>ROUND(U100/U43,4)</f>
        <v>4.1839000000000004</v>
      </c>
      <c r="V111" s="54"/>
      <c r="W111" s="153">
        <f t="shared" si="167"/>
        <v>52.2</v>
      </c>
      <c r="X111" s="154">
        <f>ROUND(X100/X43,4)</f>
        <v>4.4740000000000002</v>
      </c>
      <c r="Y111" s="54"/>
      <c r="Z111" s="153">
        <f t="shared" si="168"/>
        <v>53.33</v>
      </c>
      <c r="AA111" s="154">
        <f>ROUND(AA100/AA43,4)</f>
        <v>4.5690999999999997</v>
      </c>
      <c r="AB111" s="54"/>
      <c r="AC111" s="155">
        <f t="shared" si="169"/>
        <v>55.16</v>
      </c>
      <c r="AD111" s="156">
        <f>ROUND(AD100/AD43,4)</f>
        <v>4.7229999999999999</v>
      </c>
      <c r="AE111" s="157"/>
      <c r="AF111" s="155">
        <f t="shared" si="170"/>
        <v>57.37</v>
      </c>
      <c r="AG111" s="156">
        <f>ROUND(AG100/AG43,4)</f>
        <v>4.9089999999999998</v>
      </c>
      <c r="AI111" s="158">
        <f t="shared" si="171"/>
        <v>-0.12000000000000455</v>
      </c>
      <c r="AJ111" s="154">
        <f t="shared" si="171"/>
        <v>-9.9999999999997868E-3</v>
      </c>
      <c r="AK111" s="54"/>
      <c r="AL111" s="153">
        <f t="shared" si="172"/>
        <v>-0.17000000000000171</v>
      </c>
      <c r="AM111" s="154">
        <f t="shared" si="172"/>
        <v>-1.4600000000000612E-2</v>
      </c>
      <c r="AN111" s="54"/>
      <c r="AO111" s="158">
        <f t="shared" si="173"/>
        <v>-1.2700000000000031</v>
      </c>
      <c r="AP111" s="154">
        <f t="shared" si="173"/>
        <v>-0.10709999999999997</v>
      </c>
      <c r="AQ111" s="54"/>
      <c r="AR111" s="153">
        <f t="shared" si="174"/>
        <v>-0.92000000000000171</v>
      </c>
      <c r="AS111" s="154">
        <f t="shared" si="174"/>
        <v>-7.7700000000000102E-2</v>
      </c>
      <c r="AU111" s="159">
        <v>55.28</v>
      </c>
      <c r="AV111" s="156">
        <v>4.7329999999999997</v>
      </c>
      <c r="AW111" s="157"/>
      <c r="AX111" s="155">
        <v>57.54</v>
      </c>
      <c r="AY111" s="156">
        <v>4.9236000000000004</v>
      </c>
      <c r="BA111" s="158">
        <v>56.43</v>
      </c>
      <c r="BB111" s="154">
        <v>4.8300999999999998</v>
      </c>
      <c r="BC111" s="54"/>
      <c r="BD111" s="153">
        <v>58.29</v>
      </c>
      <c r="BE111" s="154">
        <v>4.9866999999999999</v>
      </c>
    </row>
    <row r="112" spans="2:57" hidden="1" outlineLevel="1" x14ac:dyDescent="0.4">
      <c r="C112" s="56" t="s">
        <v>20</v>
      </c>
      <c r="D112" s="57"/>
      <c r="E112" s="153">
        <f t="shared" si="165"/>
        <v>1190.07</v>
      </c>
      <c r="F112" s="154">
        <f>F101/F44</f>
        <v>2.525402877876767</v>
      </c>
      <c r="G112" s="54"/>
      <c r="H112" s="153">
        <v>1190.07</v>
      </c>
      <c r="I112" s="154">
        <v>2.525402877876767</v>
      </c>
      <c r="J112" s="54"/>
      <c r="K112" s="153">
        <v>1202.92</v>
      </c>
      <c r="L112" s="154">
        <v>2.5527000000000002</v>
      </c>
      <c r="M112" s="54"/>
      <c r="N112" s="153">
        <v>1221.57</v>
      </c>
      <c r="O112" s="154">
        <v>2.5922999999999998</v>
      </c>
      <c r="P112" s="54"/>
      <c r="Q112" s="153">
        <v>1221.57</v>
      </c>
      <c r="R112" s="154">
        <v>2.5922999999999998</v>
      </c>
      <c r="S112" s="54"/>
      <c r="T112" s="153">
        <f t="shared" si="166"/>
        <v>1024.6300000000001</v>
      </c>
      <c r="U112" s="154">
        <f>ROUND(U101/U44,4)</f>
        <v>2.2648999999999999</v>
      </c>
      <c r="V112" s="54"/>
      <c r="W112" s="153">
        <f t="shared" si="167"/>
        <v>1097.01</v>
      </c>
      <c r="X112" s="154">
        <f>ROUND(X101/X44,4)</f>
        <v>2.3852000000000002</v>
      </c>
      <c r="Y112" s="54"/>
      <c r="Z112" s="153">
        <f t="shared" si="168"/>
        <v>1120.74</v>
      </c>
      <c r="AA112" s="154">
        <f>ROUND(AA101/AA44,4)</f>
        <v>2.4245999999999999</v>
      </c>
      <c r="AB112" s="54"/>
      <c r="AC112" s="155">
        <f t="shared" si="169"/>
        <v>1159.1600000000001</v>
      </c>
      <c r="AD112" s="156">
        <f>ROUND(AD101/AD44,4)</f>
        <v>2.4885000000000002</v>
      </c>
      <c r="AE112" s="157"/>
      <c r="AF112" s="155">
        <f t="shared" si="170"/>
        <v>1205.57</v>
      </c>
      <c r="AG112" s="156">
        <f>ROUND(AG101/AG44,4)</f>
        <v>2.5657000000000001</v>
      </c>
      <c r="AI112" s="158">
        <f t="shared" si="171"/>
        <v>-2.4900000000000091</v>
      </c>
      <c r="AJ112" s="154">
        <f t="shared" si="171"/>
        <v>-4.0999999999997705E-3</v>
      </c>
      <c r="AK112" s="54"/>
      <c r="AL112" s="153">
        <f t="shared" si="172"/>
        <v>-3.6500000000000909</v>
      </c>
      <c r="AM112" s="154">
        <f t="shared" si="172"/>
        <v>-5.9999999999997833E-3</v>
      </c>
      <c r="AN112" s="54"/>
      <c r="AO112" s="158">
        <f t="shared" si="173"/>
        <v>-26.699999999999818</v>
      </c>
      <c r="AP112" s="154">
        <f t="shared" si="173"/>
        <v>-4.4399999999999995E-2</v>
      </c>
      <c r="AQ112" s="54"/>
      <c r="AR112" s="153">
        <f t="shared" si="174"/>
        <v>-19.370000000000118</v>
      </c>
      <c r="AS112" s="154">
        <f t="shared" si="174"/>
        <v>-3.2200000000000006E-2</v>
      </c>
      <c r="AU112" s="159">
        <v>1161.6500000000001</v>
      </c>
      <c r="AV112" s="156">
        <v>2.4925999999999999</v>
      </c>
      <c r="AW112" s="157"/>
      <c r="AX112" s="155">
        <v>1209.22</v>
      </c>
      <c r="AY112" s="156">
        <v>2.5716999999999999</v>
      </c>
      <c r="BA112" s="158">
        <v>1185.8599999999999</v>
      </c>
      <c r="BB112" s="154">
        <v>2.5329000000000002</v>
      </c>
      <c r="BC112" s="54"/>
      <c r="BD112" s="153">
        <v>1224.94</v>
      </c>
      <c r="BE112" s="154">
        <v>2.5979000000000001</v>
      </c>
    </row>
    <row r="113" spans="2:57" hidden="1" outlineLevel="1" x14ac:dyDescent="0.4">
      <c r="C113" s="56" t="s">
        <v>21</v>
      </c>
      <c r="D113" s="57"/>
      <c r="E113" s="153">
        <f t="shared" si="165"/>
        <v>8057.37</v>
      </c>
      <c r="F113" s="154">
        <f>F102/F45</f>
        <v>2.000155631426817</v>
      </c>
      <c r="G113" s="54"/>
      <c r="H113" s="153">
        <v>8057.37</v>
      </c>
      <c r="I113" s="154">
        <v>2.000155631426817</v>
      </c>
      <c r="J113" s="54"/>
      <c r="K113" s="153">
        <v>8144.39</v>
      </c>
      <c r="L113" s="154">
        <v>2.0217999999999998</v>
      </c>
      <c r="M113" s="54"/>
      <c r="N113" s="153">
        <v>8270.6299999999992</v>
      </c>
      <c r="O113" s="154">
        <v>2.0531000000000001</v>
      </c>
      <c r="P113" s="54"/>
      <c r="Q113" s="153">
        <v>8270.6299999999992</v>
      </c>
      <c r="R113" s="154">
        <v>2.0531000000000001</v>
      </c>
      <c r="S113" s="54"/>
      <c r="T113" s="153">
        <f t="shared" si="166"/>
        <v>7812.41</v>
      </c>
      <c r="U113" s="154">
        <f>ROUND(U102/U45,4)</f>
        <v>1.9725999999999999</v>
      </c>
      <c r="V113" s="54"/>
      <c r="W113" s="153">
        <f t="shared" si="167"/>
        <v>8347.42</v>
      </c>
      <c r="X113" s="154">
        <f>ROUND(X102/X45,4)</f>
        <v>2.0666000000000002</v>
      </c>
      <c r="Y113" s="54"/>
      <c r="Z113" s="153">
        <f t="shared" si="168"/>
        <v>8527.98</v>
      </c>
      <c r="AA113" s="154">
        <f>ROUND(AA102/AA45,4)</f>
        <v>2.0983000000000001</v>
      </c>
      <c r="AB113" s="54"/>
      <c r="AC113" s="155">
        <f t="shared" si="169"/>
        <v>8820.2900000000009</v>
      </c>
      <c r="AD113" s="156">
        <f>ROUND(AD102/AD45,4)</f>
        <v>2.1497000000000002</v>
      </c>
      <c r="AE113" s="157"/>
      <c r="AF113" s="155">
        <f t="shared" si="170"/>
        <v>9173.44</v>
      </c>
      <c r="AG113" s="156">
        <f>ROUND(AG102/AG45,4)</f>
        <v>2.2117</v>
      </c>
      <c r="AI113" s="158">
        <f t="shared" si="171"/>
        <v>-18.979999999999563</v>
      </c>
      <c r="AJ113" s="154">
        <f t="shared" si="171"/>
        <v>-3.2999999999998586E-3</v>
      </c>
      <c r="AK113" s="54"/>
      <c r="AL113" s="153">
        <f t="shared" si="172"/>
        <v>-27.829999999999927</v>
      </c>
      <c r="AM113" s="154">
        <f t="shared" si="172"/>
        <v>-4.9000000000001265E-3</v>
      </c>
      <c r="AN113" s="54"/>
      <c r="AO113" s="158">
        <f t="shared" si="173"/>
        <v>-203.20999999999913</v>
      </c>
      <c r="AP113" s="154">
        <f t="shared" si="173"/>
        <v>-3.5699999999999843E-2</v>
      </c>
      <c r="AQ113" s="54"/>
      <c r="AR113" s="153">
        <f t="shared" si="174"/>
        <v>-147.46999999999935</v>
      </c>
      <c r="AS113" s="154">
        <f t="shared" si="174"/>
        <v>-2.5999999999999801E-2</v>
      </c>
      <c r="AU113" s="159">
        <v>8839.27</v>
      </c>
      <c r="AV113" s="156">
        <v>2.153</v>
      </c>
      <c r="AW113" s="157"/>
      <c r="AX113" s="155">
        <v>9201.27</v>
      </c>
      <c r="AY113" s="156">
        <v>2.2166000000000001</v>
      </c>
      <c r="BA113" s="158">
        <v>9023.5</v>
      </c>
      <c r="BB113" s="154">
        <v>2.1854</v>
      </c>
      <c r="BC113" s="54"/>
      <c r="BD113" s="153">
        <v>9320.91</v>
      </c>
      <c r="BE113" s="154">
        <v>2.2376999999999998</v>
      </c>
    </row>
    <row r="114" spans="2:57" hidden="1" outlineLevel="1" x14ac:dyDescent="0.4">
      <c r="C114" s="56" t="s">
        <v>22</v>
      </c>
      <c r="D114" s="57"/>
      <c r="E114" s="153">
        <f t="shared" si="165"/>
        <v>1.1399999999999999</v>
      </c>
      <c r="F114" s="154">
        <f>F103/F46</f>
        <v>17.637405909149539</v>
      </c>
      <c r="G114" s="54"/>
      <c r="H114" s="153">
        <v>1.1399999999999999</v>
      </c>
      <c r="I114" s="154">
        <v>17.637405909149539</v>
      </c>
      <c r="J114" s="54"/>
      <c r="K114" s="153">
        <v>1.1499999999999999</v>
      </c>
      <c r="L114" s="154">
        <v>17.8279</v>
      </c>
      <c r="M114" s="54"/>
      <c r="N114" s="153">
        <v>1.17</v>
      </c>
      <c r="O114" s="154">
        <v>18.104199999999999</v>
      </c>
      <c r="P114" s="54"/>
      <c r="Q114" s="153">
        <v>1.17</v>
      </c>
      <c r="R114" s="154">
        <v>18.104199999999999</v>
      </c>
      <c r="S114" s="54"/>
      <c r="T114" s="153">
        <f t="shared" si="166"/>
        <v>1.65</v>
      </c>
      <c r="U114" s="160">
        <f>ROUND(U103/U46,4)</f>
        <v>25.491599999999998</v>
      </c>
      <c r="V114" s="54"/>
      <c r="W114" s="153">
        <f t="shared" si="167"/>
        <v>1.83</v>
      </c>
      <c r="X114" s="154">
        <f>ROUND(X103/X46,4)</f>
        <v>28.259</v>
      </c>
      <c r="Y114" s="54"/>
      <c r="Z114" s="153">
        <f t="shared" si="168"/>
        <v>1.92</v>
      </c>
      <c r="AA114" s="154">
        <f>ROUND(AA103/AA46,4)</f>
        <v>29.666399999999999</v>
      </c>
      <c r="AB114" s="54"/>
      <c r="AC114" s="155">
        <f t="shared" si="169"/>
        <v>1.99</v>
      </c>
      <c r="AD114" s="156">
        <f>ROUND(AD103/AD46,4)</f>
        <v>30.683299999999999</v>
      </c>
      <c r="AE114" s="157"/>
      <c r="AF114" s="155">
        <f t="shared" si="170"/>
        <v>2.0699999999999998</v>
      </c>
      <c r="AG114" s="156">
        <f>ROUND(AG103/AG46,4)</f>
        <v>31.911799999999999</v>
      </c>
      <c r="AI114" s="158">
        <f t="shared" si="171"/>
        <v>0</v>
      </c>
      <c r="AJ114" s="154">
        <f t="shared" si="171"/>
        <v>-6.6000000000002501E-2</v>
      </c>
      <c r="AK114" s="54"/>
      <c r="AL114" s="153">
        <f t="shared" si="172"/>
        <v>0</v>
      </c>
      <c r="AM114" s="154">
        <f t="shared" si="172"/>
        <v>-9.6800000000001774E-2</v>
      </c>
      <c r="AN114" s="54"/>
      <c r="AO114" s="158">
        <f t="shared" si="173"/>
        <v>-5.9999999999999831E-2</v>
      </c>
      <c r="AP114" s="154">
        <f t="shared" si="173"/>
        <v>-0.9410000000000025</v>
      </c>
      <c r="AQ114" s="54"/>
      <c r="AR114" s="153">
        <f t="shared" si="174"/>
        <v>-5.0000000000000266E-2</v>
      </c>
      <c r="AS114" s="154">
        <f t="shared" si="174"/>
        <v>-0.75480000000000302</v>
      </c>
      <c r="AU114" s="159">
        <v>1.99</v>
      </c>
      <c r="AV114" s="156">
        <v>30.749300000000002</v>
      </c>
      <c r="AW114" s="157"/>
      <c r="AX114" s="155">
        <v>2.0699999999999998</v>
      </c>
      <c r="AY114" s="156">
        <v>32.008600000000001</v>
      </c>
      <c r="BA114" s="158">
        <v>2.0499999999999998</v>
      </c>
      <c r="BB114" s="154">
        <v>31.624300000000002</v>
      </c>
      <c r="BC114" s="54"/>
      <c r="BD114" s="153">
        <v>2.12</v>
      </c>
      <c r="BE114" s="154">
        <v>32.666600000000003</v>
      </c>
    </row>
    <row r="115" spans="2:57" hidden="1" outlineLevel="1" x14ac:dyDescent="0.4">
      <c r="C115" s="56" t="s">
        <v>23</v>
      </c>
      <c r="D115" s="57"/>
      <c r="E115" s="153">
        <f t="shared" si="165"/>
        <v>3.25</v>
      </c>
      <c r="F115" s="154">
        <f>F104/F36</f>
        <v>1.3272242937091054E-2</v>
      </c>
      <c r="G115" s="54"/>
      <c r="H115" s="153">
        <v>3.25</v>
      </c>
      <c r="I115" s="154">
        <v>1.3272242937091054E-2</v>
      </c>
      <c r="J115" s="54"/>
      <c r="K115" s="153">
        <v>3.29</v>
      </c>
      <c r="L115" s="154">
        <v>1.34E-2</v>
      </c>
      <c r="M115" s="54"/>
      <c r="N115" s="153">
        <v>3.34</v>
      </c>
      <c r="O115" s="154">
        <v>1.3599999999999999E-2</v>
      </c>
      <c r="P115" s="54"/>
      <c r="Q115" s="153">
        <v>3.34</v>
      </c>
      <c r="R115" s="154">
        <v>1.3599999999999999E-2</v>
      </c>
      <c r="S115" s="54"/>
      <c r="T115" s="153">
        <f t="shared" si="166"/>
        <v>4.07</v>
      </c>
      <c r="U115" s="154">
        <f>ROUND(U104/U36,4)</f>
        <v>1.66E-2</v>
      </c>
      <c r="V115" s="54"/>
      <c r="W115" s="153">
        <f t="shared" si="167"/>
        <v>4.3600000000000003</v>
      </c>
      <c r="X115" s="154">
        <f>ROUND(X104/X36,4)</f>
        <v>1.78E-2</v>
      </c>
      <c r="Y115" s="54"/>
      <c r="Z115" s="153">
        <f t="shared" si="168"/>
        <v>4.45</v>
      </c>
      <c r="AA115" s="154">
        <f>ROUND(AA104/AA36,4)</f>
        <v>1.8200000000000001E-2</v>
      </c>
      <c r="AB115" s="54"/>
      <c r="AC115" s="155">
        <f t="shared" si="169"/>
        <v>4.5999999999999996</v>
      </c>
      <c r="AD115" s="156">
        <f>ROUND(AD104/AD36,4)</f>
        <v>1.8800000000000001E-2</v>
      </c>
      <c r="AE115" s="157"/>
      <c r="AF115" s="155">
        <f t="shared" si="170"/>
        <v>4.78</v>
      </c>
      <c r="AG115" s="156">
        <f>ROUND(AG104/AG36,4)</f>
        <v>1.9599999999999999E-2</v>
      </c>
      <c r="AI115" s="158">
        <f t="shared" si="171"/>
        <v>0.10999999999999943</v>
      </c>
      <c r="AJ115" s="154">
        <f t="shared" si="171"/>
        <v>4.0000000000000105E-4</v>
      </c>
      <c r="AK115" s="54"/>
      <c r="AL115" s="153">
        <f t="shared" si="172"/>
        <v>0.11000000000000032</v>
      </c>
      <c r="AM115" s="154">
        <f t="shared" si="172"/>
        <v>4.0000000000000105E-4</v>
      </c>
      <c r="AN115" s="54"/>
      <c r="AO115" s="158">
        <f t="shared" si="173"/>
        <v>-0.16999999999999993</v>
      </c>
      <c r="AP115" s="154">
        <f t="shared" si="173"/>
        <v>-6.9999999999999923E-4</v>
      </c>
      <c r="AQ115" s="54"/>
      <c r="AR115" s="153">
        <f t="shared" si="174"/>
        <v>-0.14999999999999947</v>
      </c>
      <c r="AS115" s="154">
        <f t="shared" si="174"/>
        <v>-5.0000000000000044E-4</v>
      </c>
      <c r="AU115" s="159">
        <v>4.49</v>
      </c>
      <c r="AV115" s="156">
        <v>1.84E-2</v>
      </c>
      <c r="AW115" s="157"/>
      <c r="AX115" s="155">
        <v>4.67</v>
      </c>
      <c r="AY115" s="156">
        <v>1.9199999999999998E-2</v>
      </c>
      <c r="BA115" s="158">
        <v>4.7699999999999996</v>
      </c>
      <c r="BB115" s="154">
        <v>1.95E-2</v>
      </c>
      <c r="BC115" s="54"/>
      <c r="BD115" s="153">
        <v>4.93</v>
      </c>
      <c r="BE115" s="154">
        <v>2.01E-2</v>
      </c>
    </row>
    <row r="116" spans="2:57" hidden="1" outlineLevel="1" x14ac:dyDescent="0.4">
      <c r="C116" s="56" t="s">
        <v>24</v>
      </c>
      <c r="D116" s="57"/>
      <c r="E116" s="153">
        <f t="shared" si="165"/>
        <v>4.22</v>
      </c>
      <c r="F116" s="154">
        <f>F105/F48</f>
        <v>6.0511586978122311</v>
      </c>
      <c r="G116" s="54"/>
      <c r="H116" s="153">
        <v>4.22</v>
      </c>
      <c r="I116" s="154">
        <v>6.0511586978122311</v>
      </c>
      <c r="J116" s="54"/>
      <c r="K116" s="153">
        <v>4.2699999999999996</v>
      </c>
      <c r="L116" s="154">
        <v>6.1166</v>
      </c>
      <c r="M116" s="54"/>
      <c r="N116" s="153">
        <v>4.34</v>
      </c>
      <c r="O116" s="154">
        <v>6.2114000000000003</v>
      </c>
      <c r="P116" s="54"/>
      <c r="Q116" s="153">
        <v>4.34</v>
      </c>
      <c r="R116" s="154">
        <v>6.2114000000000003</v>
      </c>
      <c r="S116" s="54"/>
      <c r="T116" s="153">
        <f>IFERROR(ROUND(U94/U26/12,2),0)</f>
        <v>4.91</v>
      </c>
      <c r="U116" s="154">
        <f>ROUND(U105/U48,4)</f>
        <v>7.0133000000000001</v>
      </c>
      <c r="V116" s="54"/>
      <c r="W116" s="153">
        <f>IFERROR(ROUND(X94/X26/12,2),0)</f>
        <v>5.26</v>
      </c>
      <c r="X116" s="154">
        <f>ROUND(X105/X48,4)</f>
        <v>7.5087999999999999</v>
      </c>
      <c r="Y116" s="54"/>
      <c r="Z116" s="153">
        <f>IFERROR(ROUND(AA94/AA26/12,2),0)</f>
        <v>5.37</v>
      </c>
      <c r="AA116" s="154">
        <f>ROUND(AA105/AA48,4)</f>
        <v>7.6711999999999998</v>
      </c>
      <c r="AB116" s="54"/>
      <c r="AC116" s="155">
        <f>IFERROR(ROUND(AD94/AD26/12,2),0)</f>
        <v>5.55</v>
      </c>
      <c r="AD116" s="156">
        <f>ROUND(AD105/AD48,4)</f>
        <v>7.9340999999999999</v>
      </c>
      <c r="AE116" s="157"/>
      <c r="AF116" s="155">
        <f>IFERROR(ROUND(AG94/AG26/12,2),0)</f>
        <v>5.77</v>
      </c>
      <c r="AG116" s="156">
        <f>ROUND(AG105/AG48,4)</f>
        <v>8.2517999999999994</v>
      </c>
      <c r="AI116" s="158">
        <f t="shared" si="171"/>
        <v>-2.0000000000000462E-2</v>
      </c>
      <c r="AJ116" s="154">
        <f t="shared" si="171"/>
        <v>-1.7100000000000115E-2</v>
      </c>
      <c r="AK116" s="54"/>
      <c r="AL116" s="153">
        <f t="shared" si="172"/>
        <v>-3.0000000000000249E-2</v>
      </c>
      <c r="AM116" s="154">
        <f t="shared" si="172"/>
        <v>-2.5000000000000355E-2</v>
      </c>
      <c r="AN116" s="54"/>
      <c r="AO116" s="158">
        <f t="shared" si="173"/>
        <v>-0.12999999999999989</v>
      </c>
      <c r="AP116" s="154">
        <f t="shared" si="173"/>
        <v>-0.18279999999999941</v>
      </c>
      <c r="AQ116" s="54"/>
      <c r="AR116" s="153">
        <f t="shared" si="174"/>
        <v>-0.10000000000000053</v>
      </c>
      <c r="AS116" s="154">
        <f t="shared" si="174"/>
        <v>-0.13260000000000005</v>
      </c>
      <c r="AU116" s="159">
        <v>5.57</v>
      </c>
      <c r="AV116" s="156">
        <v>7.9512</v>
      </c>
      <c r="AW116" s="157"/>
      <c r="AX116" s="155">
        <v>5.8</v>
      </c>
      <c r="AY116" s="156">
        <v>8.2767999999999997</v>
      </c>
      <c r="BA116" s="158">
        <v>5.68</v>
      </c>
      <c r="BB116" s="154">
        <v>8.1168999999999993</v>
      </c>
      <c r="BC116" s="54"/>
      <c r="BD116" s="153">
        <v>5.87</v>
      </c>
      <c r="BE116" s="154">
        <v>8.3843999999999994</v>
      </c>
    </row>
    <row r="117" spans="2:57" hidden="1" outlineLevel="1" x14ac:dyDescent="0.4">
      <c r="C117" s="39"/>
      <c r="D117" s="39"/>
      <c r="E117" s="52"/>
      <c r="F117" s="53"/>
      <c r="G117" s="54"/>
      <c r="H117" s="20"/>
      <c r="I117" s="53"/>
      <c r="J117" s="54"/>
      <c r="K117" s="20"/>
      <c r="L117" s="53"/>
      <c r="M117" s="54"/>
      <c r="N117" s="20"/>
      <c r="O117" s="53"/>
      <c r="P117" s="54"/>
      <c r="Q117" s="20"/>
      <c r="R117" s="53"/>
      <c r="S117" s="54"/>
      <c r="T117" s="20"/>
      <c r="U117" s="53"/>
      <c r="V117" s="54"/>
      <c r="W117" s="20"/>
      <c r="X117" s="53"/>
      <c r="Y117" s="54"/>
      <c r="Z117" s="20"/>
      <c r="AA117" s="53"/>
      <c r="AB117" s="54"/>
      <c r="AC117" s="20"/>
      <c r="AD117" s="53"/>
      <c r="AE117" s="54"/>
      <c r="AF117" s="20"/>
      <c r="AG117" s="53"/>
      <c r="AI117" s="69"/>
      <c r="AJ117" s="53"/>
      <c r="AK117" s="54"/>
      <c r="AL117" s="20"/>
      <c r="AM117" s="53"/>
      <c r="AN117" s="54"/>
      <c r="AO117" s="69"/>
      <c r="AP117" s="53"/>
      <c r="AQ117" s="54"/>
      <c r="AR117" s="20"/>
      <c r="AS117" s="53"/>
      <c r="AU117" s="69"/>
      <c r="AV117" s="53"/>
      <c r="AW117" s="54"/>
      <c r="AX117" s="20"/>
      <c r="AY117" s="53"/>
      <c r="BA117" s="69"/>
      <c r="BB117" s="53"/>
      <c r="BC117" s="54"/>
      <c r="BD117" s="20"/>
      <c r="BE117" s="53"/>
    </row>
    <row r="118" spans="2:57" hidden="1" outlineLevel="1" x14ac:dyDescent="0.4">
      <c r="B118" s="103" t="s">
        <v>57</v>
      </c>
      <c r="E118" s="150"/>
      <c r="F118" s="151"/>
      <c r="H118" s="150" t="s">
        <v>55</v>
      </c>
      <c r="I118" s="151" t="s">
        <v>56</v>
      </c>
      <c r="K118" s="150" t="s">
        <v>55</v>
      </c>
      <c r="L118" s="151" t="s">
        <v>56</v>
      </c>
      <c r="N118" s="150" t="s">
        <v>55</v>
      </c>
      <c r="O118" s="151" t="s">
        <v>56</v>
      </c>
      <c r="Q118" s="150" t="s">
        <v>55</v>
      </c>
      <c r="R118" s="151" t="s">
        <v>56</v>
      </c>
      <c r="T118" s="150" t="s">
        <v>55</v>
      </c>
      <c r="U118" s="151" t="s">
        <v>56</v>
      </c>
      <c r="W118" s="150" t="s">
        <v>55</v>
      </c>
      <c r="X118" s="151" t="s">
        <v>56</v>
      </c>
      <c r="Z118" s="150" t="s">
        <v>55</v>
      </c>
      <c r="AA118" s="151" t="s">
        <v>56</v>
      </c>
      <c r="AC118" s="150" t="s">
        <v>55</v>
      </c>
      <c r="AD118" s="151" t="s">
        <v>56</v>
      </c>
      <c r="AF118" s="150" t="s">
        <v>55</v>
      </c>
      <c r="AG118" s="151" t="s">
        <v>56</v>
      </c>
      <c r="AI118" s="152" t="s">
        <v>55</v>
      </c>
      <c r="AJ118" s="151" t="s">
        <v>56</v>
      </c>
      <c r="AL118" s="150" t="s">
        <v>55</v>
      </c>
      <c r="AM118" s="151" t="s">
        <v>56</v>
      </c>
      <c r="AO118" s="152" t="s">
        <v>55</v>
      </c>
      <c r="AP118" s="151" t="s">
        <v>56</v>
      </c>
      <c r="AR118" s="150" t="s">
        <v>55</v>
      </c>
      <c r="AS118" s="151" t="s">
        <v>56</v>
      </c>
      <c r="AU118" s="152" t="s">
        <v>55</v>
      </c>
      <c r="AV118" s="151" t="s">
        <v>56</v>
      </c>
      <c r="AX118" s="150" t="s">
        <v>55</v>
      </c>
      <c r="AY118" s="151" t="s">
        <v>56</v>
      </c>
      <c r="BA118" s="152" t="s">
        <v>55</v>
      </c>
      <c r="BB118" s="151" t="s">
        <v>56</v>
      </c>
      <c r="BD118" s="150" t="s">
        <v>55</v>
      </c>
      <c r="BE118" s="151" t="s">
        <v>56</v>
      </c>
    </row>
    <row r="119" spans="2:57" hidden="1" outlineLevel="1" x14ac:dyDescent="0.4">
      <c r="C119" s="56" t="s">
        <v>17</v>
      </c>
      <c r="D119" s="57"/>
      <c r="E119" s="153"/>
      <c r="F119" s="154"/>
      <c r="G119" s="54"/>
      <c r="H119" s="161">
        <f>(H109-E109)/E109</f>
        <v>0</v>
      </c>
      <c r="I119" s="162">
        <f>(I109-F109)/F109</f>
        <v>0</v>
      </c>
      <c r="J119" s="54"/>
      <c r="K119" s="161">
        <f>(K109-H109)/H109</f>
        <v>1.0909090909090893E-2</v>
      </c>
      <c r="L119" s="162">
        <f>(L109-I109)/I109</f>
        <v>7.6166776573815898E-3</v>
      </c>
      <c r="M119" s="54"/>
      <c r="N119" s="161">
        <f>(N109-K109)/K109</f>
        <v>1.5587529976019279E-2</v>
      </c>
      <c r="O119" s="162">
        <f>(O109-L109)/L109</f>
        <v>1.6949152542372926E-2</v>
      </c>
      <c r="P119" s="54"/>
      <c r="Q119" s="161">
        <f>(Q109-K109)/K109</f>
        <v>1.5587529976019279E-2</v>
      </c>
      <c r="R119" s="162">
        <f>(R109-L109)/L109</f>
        <v>1.6949152542372926E-2</v>
      </c>
      <c r="S119" s="54"/>
      <c r="T119" s="161">
        <f>(T109-Q109)/Q109</f>
        <v>0.2396694214876032</v>
      </c>
      <c r="U119" s="162">
        <f>(U109-R109)/R109</f>
        <v>9.9999999999999978E-2</v>
      </c>
      <c r="V119" s="54"/>
      <c r="W119" s="161">
        <f>(W109-T109)/T109</f>
        <v>6.7619047619047704E-2</v>
      </c>
      <c r="X119" s="162">
        <f>(X109-U109)/U109</f>
        <v>7.5757575757575829E-2</v>
      </c>
      <c r="Y119" s="54"/>
      <c r="Z119" s="161">
        <f>(Z109-W109)/W109</f>
        <v>0.26851025869759138</v>
      </c>
      <c r="AA119" s="162">
        <f>(AA109-X109)/X109</f>
        <v>-0.23239436619718315</v>
      </c>
      <c r="AB119" s="54"/>
      <c r="AC119" s="161">
        <f>(AC109-Z109)/Z109</f>
        <v>0.2327707454289733</v>
      </c>
      <c r="AD119" s="162">
        <f>(AD109-AA109)/AA109</f>
        <v>-0.30275229357798167</v>
      </c>
      <c r="AE119" s="54"/>
      <c r="AF119" s="161">
        <f>(AF109-AC109)/AC109</f>
        <v>0.20878494010268112</v>
      </c>
      <c r="AG119" s="162">
        <f>(AG109-AD109)/AD109</f>
        <v>-0.47368421052631576</v>
      </c>
      <c r="AI119" s="163">
        <f t="shared" ref="AI119:AJ126" si="175">AC119-AU119</f>
        <v>1.265822784810125E-2</v>
      </c>
      <c r="AJ119" s="162">
        <f t="shared" si="175"/>
        <v>-1.834862385321101E-2</v>
      </c>
      <c r="AK119" s="54"/>
      <c r="AL119" s="161">
        <f t="shared" ref="AL119:AM126" si="176">AF119-AX119</f>
        <v>1.3940696147091147E-4</v>
      </c>
      <c r="AM119" s="162">
        <f t="shared" si="176"/>
        <v>6.7476383265852036E-4</v>
      </c>
      <c r="AN119" s="54"/>
      <c r="AO119" s="163">
        <f t="shared" ref="AO119:AP126" si="177">AC119-BA119</f>
        <v>-2.8129395218002728E-2</v>
      </c>
      <c r="AP119" s="162">
        <f t="shared" si="177"/>
        <v>-1.834862385321101E-2</v>
      </c>
      <c r="AQ119" s="54"/>
      <c r="AR119" s="161">
        <f t="shared" ref="AR119:AS126" si="178">AF119-BD119</f>
        <v>6.8886768567245626E-3</v>
      </c>
      <c r="AS119" s="162">
        <f t="shared" si="178"/>
        <v>6.7476383265852036E-4</v>
      </c>
      <c r="AU119" s="163">
        <v>0.22011251758087205</v>
      </c>
      <c r="AV119" s="162">
        <v>-0.28440366972477066</v>
      </c>
      <c r="AW119" s="54"/>
      <c r="AX119" s="161">
        <v>0.2086455331412102</v>
      </c>
      <c r="AY119" s="162">
        <v>-0.47435897435897428</v>
      </c>
      <c r="BA119" s="163">
        <v>0.26090014064697603</v>
      </c>
      <c r="BB119" s="162">
        <v>-0.28440366972477066</v>
      </c>
      <c r="BC119" s="54"/>
      <c r="BD119" s="161">
        <v>0.20189626324595655</v>
      </c>
      <c r="BE119" s="162">
        <v>-0.47435897435897428</v>
      </c>
    </row>
    <row r="120" spans="2:57" hidden="1" outlineLevel="1" x14ac:dyDescent="0.4">
      <c r="C120" s="56" t="s">
        <v>18</v>
      </c>
      <c r="D120" s="57"/>
      <c r="E120" s="153"/>
      <c r="F120" s="154"/>
      <c r="G120" s="54"/>
      <c r="H120" s="161">
        <f t="shared" ref="H120:I125" si="179">(H110-E110)/E110</f>
        <v>0</v>
      </c>
      <c r="I120" s="162">
        <f t="shared" si="179"/>
        <v>0</v>
      </c>
      <c r="J120" s="54"/>
      <c r="K120" s="161">
        <f t="shared" ref="K120:L125" si="180">(K110-H110)/H110</f>
        <v>1.1029411764705864E-2</v>
      </c>
      <c r="L120" s="162">
        <f t="shared" si="180"/>
        <v>1.0223529655524302E-2</v>
      </c>
      <c r="M120" s="54"/>
      <c r="N120" s="161">
        <f t="shared" ref="N120:O125" si="181">(N110-K110)/K110</f>
        <v>1.5757575757575852E-2</v>
      </c>
      <c r="O120" s="162">
        <f t="shared" si="181"/>
        <v>1.7964071856287525E-2</v>
      </c>
      <c r="P120" s="54"/>
      <c r="Q120" s="161">
        <f t="shared" ref="Q120:R125" si="182">(Q110-K110)/K110</f>
        <v>1.5757575757575852E-2</v>
      </c>
      <c r="R120" s="162">
        <f t="shared" si="182"/>
        <v>1.7964071856287525E-2</v>
      </c>
      <c r="S120" s="54"/>
      <c r="T120" s="161">
        <f t="shared" ref="T120:U125" si="183">(T110-Q110)/Q110</f>
        <v>0.81503579952267291</v>
      </c>
      <c r="U120" s="162">
        <f t="shared" si="183"/>
        <v>-0.13529411764705893</v>
      </c>
      <c r="V120" s="54"/>
      <c r="W120" s="161">
        <f t="shared" ref="W120:X125" si="184">(W110-T110)/T110</f>
        <v>5.3254437869822396E-2</v>
      </c>
      <c r="X120" s="162">
        <f t="shared" si="184"/>
        <v>6.8027210884353692E-2</v>
      </c>
      <c r="Y120" s="54"/>
      <c r="Z120" s="161">
        <f t="shared" ref="Z120:AA125" si="185">(Z110-W110)/W110</f>
        <v>1.3732833957552988E-2</v>
      </c>
      <c r="AA120" s="162">
        <f t="shared" si="185"/>
        <v>2.5477707006369497E-2</v>
      </c>
      <c r="AB120" s="54"/>
      <c r="AC120" s="161">
        <f t="shared" ref="AC120:AD125" si="186">(AC110-Z110)/Z110</f>
        <v>2.2783251231527156E-2</v>
      </c>
      <c r="AD120" s="162">
        <f t="shared" si="186"/>
        <v>3.7267080745341609E-2</v>
      </c>
      <c r="AE120" s="54"/>
      <c r="AF120" s="161">
        <f t="shared" ref="AF120:AG125" si="187">(AF110-AC110)/AC110</f>
        <v>2.7694160144491324E-2</v>
      </c>
      <c r="AG120" s="162">
        <f t="shared" si="187"/>
        <v>4.1916167664670614E-2</v>
      </c>
      <c r="AI120" s="163">
        <f t="shared" si="175"/>
        <v>3.3251231527093542E-2</v>
      </c>
      <c r="AJ120" s="162">
        <f t="shared" si="175"/>
        <v>-1.8633540372670905E-2</v>
      </c>
      <c r="AK120" s="54"/>
      <c r="AL120" s="161">
        <f t="shared" si="176"/>
        <v>2.8030587132530822E-3</v>
      </c>
      <c r="AM120" s="162">
        <f t="shared" si="176"/>
        <v>-5.1426558647410664E-3</v>
      </c>
      <c r="AN120" s="54"/>
      <c r="AO120" s="163">
        <f t="shared" si="177"/>
        <v>-2.4014778325123193E-2</v>
      </c>
      <c r="AP120" s="162">
        <f t="shared" si="177"/>
        <v>-2.4844720496894471E-2</v>
      </c>
      <c r="AQ120" s="54"/>
      <c r="AR120" s="161">
        <f t="shared" si="178"/>
        <v>5.9294542621383256E-3</v>
      </c>
      <c r="AS120" s="162">
        <f t="shared" si="178"/>
        <v>6.8284483664250092E-3</v>
      </c>
      <c r="AU120" s="163">
        <v>-1.0467980295566389E-2</v>
      </c>
      <c r="AV120" s="162">
        <v>5.5900621118012514E-2</v>
      </c>
      <c r="AW120" s="54"/>
      <c r="AX120" s="161">
        <v>2.4891101431238242E-2</v>
      </c>
      <c r="AY120" s="162">
        <v>4.7058823529411681E-2</v>
      </c>
      <c r="BA120" s="163">
        <v>4.6798029556650349E-2</v>
      </c>
      <c r="BB120" s="162">
        <v>6.211180124223608E-2</v>
      </c>
      <c r="BC120" s="54"/>
      <c r="BD120" s="161">
        <v>2.1764705882352998E-2</v>
      </c>
      <c r="BE120" s="162">
        <v>3.5087719298245605E-2</v>
      </c>
    </row>
    <row r="121" spans="2:57" hidden="1" outlineLevel="1" x14ac:dyDescent="0.4">
      <c r="C121" s="56" t="s">
        <v>19</v>
      </c>
      <c r="D121" s="57"/>
      <c r="E121" s="153"/>
      <c r="F121" s="154"/>
      <c r="G121" s="54"/>
      <c r="H121" s="161">
        <f t="shared" si="179"/>
        <v>0</v>
      </c>
      <c r="I121" s="162">
        <f t="shared" si="179"/>
        <v>0</v>
      </c>
      <c r="J121" s="54"/>
      <c r="K121" s="161">
        <f t="shared" si="180"/>
        <v>1.0709186101856156E-2</v>
      </c>
      <c r="L121" s="162">
        <f t="shared" si="180"/>
        <v>1.0803013569471841E-2</v>
      </c>
      <c r="M121" s="54"/>
      <c r="N121" s="161">
        <f t="shared" si="181"/>
        <v>1.5540381445726482E-2</v>
      </c>
      <c r="O121" s="162">
        <f t="shared" si="181"/>
        <v>1.5493690290438376E-2</v>
      </c>
      <c r="P121" s="54"/>
      <c r="Q121" s="161">
        <f t="shared" si="182"/>
        <v>1.5540381445726482E-2</v>
      </c>
      <c r="R121" s="162">
        <f t="shared" si="182"/>
        <v>1.5493690290438376E-2</v>
      </c>
      <c r="S121" s="54"/>
      <c r="T121" s="161">
        <f t="shared" si="183"/>
        <v>0.13053559007651275</v>
      </c>
      <c r="U121" s="162">
        <f t="shared" si="183"/>
        <v>0.12782704800927303</v>
      </c>
      <c r="V121" s="54"/>
      <c r="W121" s="161">
        <f t="shared" si="184"/>
        <v>7.0549630844954983E-2</v>
      </c>
      <c r="X121" s="162">
        <f t="shared" si="184"/>
        <v>6.9337221252897957E-2</v>
      </c>
      <c r="Y121" s="54"/>
      <c r="Z121" s="161">
        <f t="shared" si="185"/>
        <v>2.1647509578543972E-2</v>
      </c>
      <c r="AA121" s="162">
        <f t="shared" si="185"/>
        <v>2.1256146624944013E-2</v>
      </c>
      <c r="AB121" s="54"/>
      <c r="AC121" s="161">
        <f t="shared" si="186"/>
        <v>3.4314644665291549E-2</v>
      </c>
      <c r="AD121" s="162">
        <f t="shared" si="186"/>
        <v>3.3682782167166435E-2</v>
      </c>
      <c r="AE121" s="54"/>
      <c r="AF121" s="161">
        <f t="shared" si="187"/>
        <v>4.0065264684554042E-2</v>
      </c>
      <c r="AG121" s="162">
        <f t="shared" si="187"/>
        <v>3.9381748888418368E-2</v>
      </c>
      <c r="AI121" s="163">
        <f t="shared" si="175"/>
        <v>-2.250140633789699E-3</v>
      </c>
      <c r="AJ121" s="162">
        <f t="shared" si="175"/>
        <v>-2.1886148256767823E-3</v>
      </c>
      <c r="AK121" s="54"/>
      <c r="AL121" s="161">
        <f t="shared" si="176"/>
        <v>-8.175138972114776E-4</v>
      </c>
      <c r="AM121" s="162">
        <f t="shared" si="176"/>
        <v>-8.8869269197478645E-4</v>
      </c>
      <c r="AN121" s="54"/>
      <c r="AO121" s="163">
        <f t="shared" si="177"/>
        <v>-2.3813988374273454E-2</v>
      </c>
      <c r="AP121" s="162">
        <f t="shared" si="177"/>
        <v>-2.3440064782998836E-2</v>
      </c>
      <c r="AQ121" s="54"/>
      <c r="AR121" s="161">
        <f t="shared" si="178"/>
        <v>7.1040738286263505E-3</v>
      </c>
      <c r="AS121" s="162">
        <f t="shared" si="178"/>
        <v>6.9600598964720123E-3</v>
      </c>
      <c r="AU121" s="163">
        <v>3.6564785299081248E-2</v>
      </c>
      <c r="AV121" s="162">
        <v>3.5871396992843217E-2</v>
      </c>
      <c r="AW121" s="54"/>
      <c r="AX121" s="161">
        <v>4.0882778581765519E-2</v>
      </c>
      <c r="AY121" s="162">
        <v>4.0270441580393154E-2</v>
      </c>
      <c r="BA121" s="163">
        <v>5.8128633039565003E-2</v>
      </c>
      <c r="BB121" s="162">
        <v>5.7122846950165271E-2</v>
      </c>
      <c r="BC121" s="54"/>
      <c r="BD121" s="161">
        <v>3.2961190855927691E-2</v>
      </c>
      <c r="BE121" s="162">
        <v>3.2421688991946356E-2</v>
      </c>
    </row>
    <row r="122" spans="2:57" hidden="1" outlineLevel="1" x14ac:dyDescent="0.4">
      <c r="C122" s="56" t="s">
        <v>20</v>
      </c>
      <c r="D122" s="57"/>
      <c r="E122" s="153"/>
      <c r="F122" s="154"/>
      <c r="G122" s="54"/>
      <c r="H122" s="161">
        <f t="shared" si="179"/>
        <v>0</v>
      </c>
      <c r="I122" s="162">
        <f t="shared" si="179"/>
        <v>0</v>
      </c>
      <c r="J122" s="54"/>
      <c r="K122" s="161">
        <f t="shared" si="180"/>
        <v>1.0797684169838864E-2</v>
      </c>
      <c r="L122" s="162">
        <f t="shared" si="180"/>
        <v>1.0809016795840223E-2</v>
      </c>
      <c r="M122" s="54"/>
      <c r="N122" s="161">
        <f t="shared" si="181"/>
        <v>1.5503940411664835E-2</v>
      </c>
      <c r="O122" s="162">
        <f t="shared" si="181"/>
        <v>1.5512986249852952E-2</v>
      </c>
      <c r="P122" s="54"/>
      <c r="Q122" s="161">
        <f t="shared" si="182"/>
        <v>1.5503940411664835E-2</v>
      </c>
      <c r="R122" s="162">
        <f t="shared" si="182"/>
        <v>1.5512986249852952E-2</v>
      </c>
      <c r="S122" s="54"/>
      <c r="T122" s="161">
        <f t="shared" si="183"/>
        <v>-0.16121875946527817</v>
      </c>
      <c r="U122" s="162">
        <f t="shared" si="183"/>
        <v>-0.12629711067391888</v>
      </c>
      <c r="V122" s="54"/>
      <c r="W122" s="161">
        <f t="shared" si="184"/>
        <v>7.0640133511608943E-2</v>
      </c>
      <c r="X122" s="162">
        <f t="shared" si="184"/>
        <v>5.3114927811382537E-2</v>
      </c>
      <c r="Y122" s="54"/>
      <c r="Z122" s="161">
        <f t="shared" si="185"/>
        <v>2.1631525692564352E-2</v>
      </c>
      <c r="AA122" s="162">
        <f t="shared" si="185"/>
        <v>1.6518530940801465E-2</v>
      </c>
      <c r="AB122" s="54"/>
      <c r="AC122" s="161">
        <f t="shared" si="186"/>
        <v>3.4280921533986534E-2</v>
      </c>
      <c r="AD122" s="162">
        <f t="shared" si="186"/>
        <v>2.6354862657758101E-2</v>
      </c>
      <c r="AE122" s="54"/>
      <c r="AF122" s="161">
        <f t="shared" si="187"/>
        <v>4.0037613444218099E-2</v>
      </c>
      <c r="AG122" s="162">
        <f t="shared" si="187"/>
        <v>3.102270444042593E-2</v>
      </c>
      <c r="AI122" s="163">
        <f t="shared" si="175"/>
        <v>-2.2217463461641565E-3</v>
      </c>
      <c r="AJ122" s="162">
        <f t="shared" si="175"/>
        <v>-1.6910005774147356E-3</v>
      </c>
      <c r="AK122" s="54"/>
      <c r="AL122" s="161">
        <f t="shared" si="176"/>
        <v>-9.1275887102309355E-4</v>
      </c>
      <c r="AM122" s="162">
        <f t="shared" si="176"/>
        <v>-7.1122799959651845E-4</v>
      </c>
      <c r="AN122" s="54"/>
      <c r="AO122" s="163">
        <f t="shared" si="177"/>
        <v>-2.382354515766353E-2</v>
      </c>
      <c r="AP122" s="162">
        <f t="shared" si="177"/>
        <v>-1.831229893590695E-2</v>
      </c>
      <c r="AQ122" s="54"/>
      <c r="AR122" s="161">
        <f t="shared" si="178"/>
        <v>7.0826271895167367E-3</v>
      </c>
      <c r="AS122" s="162">
        <f t="shared" si="178"/>
        <v>5.3604201023154871E-3</v>
      </c>
      <c r="AU122" s="163">
        <v>3.6502667880150691E-2</v>
      </c>
      <c r="AV122" s="162">
        <v>2.8045863235172837E-2</v>
      </c>
      <c r="AW122" s="54"/>
      <c r="AX122" s="161">
        <v>4.0950372315241193E-2</v>
      </c>
      <c r="AY122" s="162">
        <v>3.1733932440022448E-2</v>
      </c>
      <c r="BA122" s="163">
        <v>5.8104466691650064E-2</v>
      </c>
      <c r="BB122" s="162">
        <v>4.4667161593665052E-2</v>
      </c>
      <c r="BC122" s="54"/>
      <c r="BD122" s="161">
        <v>3.2954986254701363E-2</v>
      </c>
      <c r="BE122" s="162">
        <v>2.5662284338110443E-2</v>
      </c>
    </row>
    <row r="123" spans="2:57" hidden="1" outlineLevel="1" x14ac:dyDescent="0.4">
      <c r="C123" s="56" t="s">
        <v>21</v>
      </c>
      <c r="D123" s="57"/>
      <c r="E123" s="153"/>
      <c r="F123" s="154"/>
      <c r="G123" s="54"/>
      <c r="H123" s="161">
        <f t="shared" si="179"/>
        <v>0</v>
      </c>
      <c r="I123" s="162">
        <f t="shared" si="179"/>
        <v>0</v>
      </c>
      <c r="J123" s="54"/>
      <c r="K123" s="161">
        <f t="shared" si="180"/>
        <v>1.0800050140430492E-2</v>
      </c>
      <c r="L123" s="162">
        <f t="shared" si="180"/>
        <v>1.0821342216126845E-2</v>
      </c>
      <c r="M123" s="54"/>
      <c r="N123" s="161">
        <f t="shared" si="181"/>
        <v>1.5500240042532205E-2</v>
      </c>
      <c r="O123" s="162">
        <f t="shared" si="181"/>
        <v>1.5481254327826852E-2</v>
      </c>
      <c r="P123" s="54"/>
      <c r="Q123" s="161">
        <f t="shared" si="182"/>
        <v>1.5500240042532205E-2</v>
      </c>
      <c r="R123" s="162">
        <f t="shared" si="182"/>
        <v>1.5481254327826852E-2</v>
      </c>
      <c r="S123" s="54"/>
      <c r="T123" s="161">
        <f t="shared" si="183"/>
        <v>-5.540327641304222E-2</v>
      </c>
      <c r="U123" s="162">
        <f t="shared" si="183"/>
        <v>-3.9209001022843616E-2</v>
      </c>
      <c r="V123" s="54"/>
      <c r="W123" s="161">
        <f t="shared" si="184"/>
        <v>6.8482068913433919E-2</v>
      </c>
      <c r="X123" s="162">
        <f t="shared" si="184"/>
        <v>4.7652843962283441E-2</v>
      </c>
      <c r="Y123" s="54"/>
      <c r="Z123" s="161">
        <f t="shared" si="185"/>
        <v>2.1630635573626281E-2</v>
      </c>
      <c r="AA123" s="162">
        <f t="shared" si="185"/>
        <v>1.5339204490467355E-2</v>
      </c>
      <c r="AB123" s="54"/>
      <c r="AC123" s="161">
        <f t="shared" si="186"/>
        <v>3.4276581324065171E-2</v>
      </c>
      <c r="AD123" s="162">
        <f t="shared" si="186"/>
        <v>2.4496020588095177E-2</v>
      </c>
      <c r="AE123" s="54"/>
      <c r="AF123" s="161">
        <f t="shared" si="187"/>
        <v>4.0038366085468798E-2</v>
      </c>
      <c r="AG123" s="162">
        <f t="shared" si="187"/>
        <v>2.8841233660510689E-2</v>
      </c>
      <c r="AI123" s="163">
        <f t="shared" si="175"/>
        <v>-2.2256149756448296E-3</v>
      </c>
      <c r="AJ123" s="162">
        <f t="shared" si="175"/>
        <v>-1.5727017109087651E-3</v>
      </c>
      <c r="AK123" s="54"/>
      <c r="AL123" s="161">
        <f t="shared" si="176"/>
        <v>-9.1524207448106382E-4</v>
      </c>
      <c r="AM123" s="162">
        <f t="shared" si="176"/>
        <v>-6.9894283739925164E-4</v>
      </c>
      <c r="AN123" s="54"/>
      <c r="AO123" s="163">
        <f t="shared" si="177"/>
        <v>-2.3828620611211465E-2</v>
      </c>
      <c r="AP123" s="162">
        <f t="shared" si="177"/>
        <v>-1.7013773054377276E-2</v>
      </c>
      <c r="AQ123" s="54"/>
      <c r="AR123" s="161">
        <f t="shared" si="178"/>
        <v>7.0788714326179211E-3</v>
      </c>
      <c r="AS123" s="162">
        <f t="shared" si="178"/>
        <v>4.9096879480553975E-3</v>
      </c>
      <c r="AU123" s="163">
        <v>3.6502196299710001E-2</v>
      </c>
      <c r="AV123" s="162">
        <v>2.6068722299003942E-2</v>
      </c>
      <c r="AW123" s="54"/>
      <c r="AX123" s="161">
        <v>4.0953608159949861E-2</v>
      </c>
      <c r="AY123" s="162">
        <v>2.954017649790994E-2</v>
      </c>
      <c r="BA123" s="163">
        <v>5.8105201935276636E-2</v>
      </c>
      <c r="BB123" s="162">
        <v>4.1509793642472453E-2</v>
      </c>
      <c r="BC123" s="54"/>
      <c r="BD123" s="161">
        <v>3.2959494652850876E-2</v>
      </c>
      <c r="BE123" s="162">
        <v>2.3931545712455291E-2</v>
      </c>
    </row>
    <row r="124" spans="2:57" hidden="1" outlineLevel="1" x14ac:dyDescent="0.4">
      <c r="C124" s="56" t="s">
        <v>22</v>
      </c>
      <c r="D124" s="57"/>
      <c r="E124" s="153"/>
      <c r="F124" s="154"/>
      <c r="G124" s="54"/>
      <c r="H124" s="161">
        <f t="shared" si="179"/>
        <v>0</v>
      </c>
      <c r="I124" s="162">
        <f t="shared" si="179"/>
        <v>0</v>
      </c>
      <c r="J124" s="54"/>
      <c r="K124" s="161">
        <f t="shared" si="180"/>
        <v>8.7719298245614117E-3</v>
      </c>
      <c r="L124" s="162">
        <f t="shared" si="180"/>
        <v>1.0800573045248132E-2</v>
      </c>
      <c r="M124" s="54"/>
      <c r="N124" s="161">
        <f t="shared" si="181"/>
        <v>1.7391304347826105E-2</v>
      </c>
      <c r="O124" s="162">
        <f t="shared" si="181"/>
        <v>1.549817981927199E-2</v>
      </c>
      <c r="P124" s="54"/>
      <c r="Q124" s="161">
        <f t="shared" si="182"/>
        <v>1.7391304347826105E-2</v>
      </c>
      <c r="R124" s="162">
        <f t="shared" si="182"/>
        <v>1.549817981927199E-2</v>
      </c>
      <c r="S124" s="54"/>
      <c r="T124" s="161">
        <f t="shared" si="183"/>
        <v>0.41025641025641024</v>
      </c>
      <c r="U124" s="162">
        <f t="shared" si="183"/>
        <v>0.40804896101457122</v>
      </c>
      <c r="V124" s="54"/>
      <c r="W124" s="161">
        <f t="shared" si="184"/>
        <v>0.1090909090909092</v>
      </c>
      <c r="X124" s="162">
        <f t="shared" si="184"/>
        <v>0.10856125154953013</v>
      </c>
      <c r="Y124" s="54"/>
      <c r="Z124" s="161">
        <f t="shared" si="185"/>
        <v>4.9180327868852382E-2</v>
      </c>
      <c r="AA124" s="162">
        <f t="shared" si="185"/>
        <v>4.9803602392158218E-2</v>
      </c>
      <c r="AB124" s="54"/>
      <c r="AC124" s="161">
        <f t="shared" si="186"/>
        <v>3.645833333333337E-2</v>
      </c>
      <c r="AD124" s="162">
        <f t="shared" si="186"/>
        <v>3.4277836205269252E-2</v>
      </c>
      <c r="AE124" s="54"/>
      <c r="AF124" s="161">
        <f t="shared" si="187"/>
        <v>4.0201005025125552E-2</v>
      </c>
      <c r="AG124" s="162">
        <f t="shared" si="187"/>
        <v>4.0038066309686392E-2</v>
      </c>
      <c r="AI124" s="163">
        <f t="shared" si="175"/>
        <v>0</v>
      </c>
      <c r="AJ124" s="162">
        <f t="shared" si="175"/>
        <v>-2.2247390987785026E-3</v>
      </c>
      <c r="AK124" s="54"/>
      <c r="AL124" s="161">
        <f t="shared" si="176"/>
        <v>0</v>
      </c>
      <c r="AM124" s="162">
        <f t="shared" si="176"/>
        <v>-9.1571149988974726E-4</v>
      </c>
      <c r="AN124" s="54"/>
      <c r="AO124" s="163">
        <f t="shared" si="177"/>
        <v>-3.1249999999999917E-2</v>
      </c>
      <c r="AP124" s="162">
        <f t="shared" si="177"/>
        <v>-3.1719386241674169E-2</v>
      </c>
      <c r="AQ124" s="54"/>
      <c r="AR124" s="161">
        <f t="shared" si="178"/>
        <v>6.0546635617107769E-3</v>
      </c>
      <c r="AS124" s="162">
        <f t="shared" si="178"/>
        <v>7.0792340193273698E-3</v>
      </c>
      <c r="AU124" s="163">
        <v>3.645833333333337E-2</v>
      </c>
      <c r="AV124" s="162">
        <v>3.6502575304047755E-2</v>
      </c>
      <c r="AW124" s="54"/>
      <c r="AX124" s="161">
        <v>4.0201005025125552E-2</v>
      </c>
      <c r="AY124" s="162">
        <v>4.0953777809576139E-2</v>
      </c>
      <c r="BA124" s="163">
        <v>6.7708333333333287E-2</v>
      </c>
      <c r="BB124" s="162">
        <v>6.5997222446943421E-2</v>
      </c>
      <c r="BC124" s="54"/>
      <c r="BD124" s="161">
        <v>3.4146341463414775E-2</v>
      </c>
      <c r="BE124" s="162">
        <v>3.2958832290359022E-2</v>
      </c>
    </row>
    <row r="125" spans="2:57" hidden="1" outlineLevel="1" x14ac:dyDescent="0.4">
      <c r="C125" s="56" t="s">
        <v>23</v>
      </c>
      <c r="D125" s="57"/>
      <c r="E125" s="153"/>
      <c r="F125" s="154"/>
      <c r="G125" s="54"/>
      <c r="H125" s="161">
        <f t="shared" si="179"/>
        <v>0</v>
      </c>
      <c r="I125" s="162">
        <f t="shared" si="179"/>
        <v>0</v>
      </c>
      <c r="J125" s="54"/>
      <c r="K125" s="161">
        <f t="shared" si="180"/>
        <v>1.2307692307692318E-2</v>
      </c>
      <c r="L125" s="162">
        <f t="shared" si="180"/>
        <v>9.6258833954818712E-3</v>
      </c>
      <c r="M125" s="54"/>
      <c r="N125" s="161">
        <f t="shared" si="181"/>
        <v>1.5197568389057697E-2</v>
      </c>
      <c r="O125" s="162">
        <f t="shared" si="181"/>
        <v>1.4925373134328268E-2</v>
      </c>
      <c r="P125" s="54"/>
      <c r="Q125" s="161">
        <f t="shared" si="182"/>
        <v>1.5197568389057697E-2</v>
      </c>
      <c r="R125" s="162">
        <f t="shared" si="182"/>
        <v>1.4925373134328268E-2</v>
      </c>
      <c r="S125" s="54"/>
      <c r="T125" s="161">
        <f t="shared" si="183"/>
        <v>0.21856287425149715</v>
      </c>
      <c r="U125" s="162">
        <f t="shared" si="183"/>
        <v>0.22058823529411772</v>
      </c>
      <c r="V125" s="54"/>
      <c r="W125" s="161">
        <f t="shared" si="184"/>
        <v>7.125307125307126E-2</v>
      </c>
      <c r="X125" s="162">
        <f t="shared" si="184"/>
        <v>7.2289156626506007E-2</v>
      </c>
      <c r="Y125" s="54"/>
      <c r="Z125" s="161">
        <f t="shared" si="185"/>
        <v>2.0642201834862352E-2</v>
      </c>
      <c r="AA125" s="162">
        <f t="shared" si="185"/>
        <v>2.2471910112359609E-2</v>
      </c>
      <c r="AB125" s="54"/>
      <c r="AC125" s="161">
        <f t="shared" si="186"/>
        <v>3.3707865168539207E-2</v>
      </c>
      <c r="AD125" s="162">
        <f t="shared" si="186"/>
        <v>3.2967032967032954E-2</v>
      </c>
      <c r="AE125" s="54"/>
      <c r="AF125" s="161">
        <f t="shared" si="187"/>
        <v>3.9130434782608831E-2</v>
      </c>
      <c r="AG125" s="162">
        <f t="shared" si="187"/>
        <v>4.2553191489361625E-2</v>
      </c>
      <c r="AI125" s="163">
        <f t="shared" si="175"/>
        <v>2.4719101123595377E-2</v>
      </c>
      <c r="AJ125" s="162">
        <f t="shared" si="175"/>
        <v>2.1978021978022032E-2</v>
      </c>
      <c r="AK125" s="54"/>
      <c r="AL125" s="161">
        <f t="shared" si="176"/>
        <v>-9.5865207707929861E-4</v>
      </c>
      <c r="AM125" s="162">
        <f t="shared" si="176"/>
        <v>-9.2506938020352203E-4</v>
      </c>
      <c r="AN125" s="54"/>
      <c r="AO125" s="163">
        <f t="shared" si="177"/>
        <v>-3.8202247191011222E-2</v>
      </c>
      <c r="AP125" s="162">
        <f t="shared" si="177"/>
        <v>-3.8461538461538415E-2</v>
      </c>
      <c r="AQ125" s="54"/>
      <c r="AR125" s="161">
        <f t="shared" si="178"/>
        <v>5.5874578434054467E-3</v>
      </c>
      <c r="AS125" s="162">
        <f t="shared" si="178"/>
        <v>1.1783960720130864E-2</v>
      </c>
      <c r="AU125" s="163">
        <v>8.988764044943828E-3</v>
      </c>
      <c r="AV125" s="162">
        <v>1.0989010989010922E-2</v>
      </c>
      <c r="AW125" s="54"/>
      <c r="AX125" s="161">
        <v>4.0089086859688129E-2</v>
      </c>
      <c r="AY125" s="162">
        <v>4.3478260869565147E-2</v>
      </c>
      <c r="BA125" s="163">
        <v>7.1910112359550429E-2</v>
      </c>
      <c r="BB125" s="162">
        <v>7.1428571428571369E-2</v>
      </c>
      <c r="BC125" s="54"/>
      <c r="BD125" s="161">
        <v>3.3542976939203384E-2</v>
      </c>
      <c r="BE125" s="162">
        <v>3.0769230769230761E-2</v>
      </c>
    </row>
    <row r="126" spans="2:57" hidden="1" outlineLevel="1" x14ac:dyDescent="0.4">
      <c r="C126" s="56" t="s">
        <v>24</v>
      </c>
      <c r="D126" s="57"/>
      <c r="E126" s="153"/>
      <c r="F126" s="154"/>
      <c r="G126" s="54"/>
      <c r="H126" s="161">
        <f>IFERROR((H116-E116)/E116,0)</f>
        <v>0</v>
      </c>
      <c r="I126" s="162">
        <f>IFERROR((I116-F116)/F116,0)</f>
        <v>0</v>
      </c>
      <c r="J126" s="54"/>
      <c r="K126" s="161">
        <f>IFERROR((K116-H116)/H116,0)</f>
        <v>1.1848341232227447E-2</v>
      </c>
      <c r="L126" s="162">
        <f>IFERROR((L116-I116)/I116,0)</f>
        <v>1.0814672933867838E-2</v>
      </c>
      <c r="M126" s="54"/>
      <c r="N126" s="161">
        <f>IFERROR((N116-K116)/K116,0)</f>
        <v>1.6393442622950886E-2</v>
      </c>
      <c r="O126" s="162">
        <f>IFERROR((O116-L116)/L116,0)</f>
        <v>1.5498806526501686E-2</v>
      </c>
      <c r="P126" s="54"/>
      <c r="Q126" s="161">
        <f>IFERROR((Q116-K116)/K116,0)</f>
        <v>1.6393442622950886E-2</v>
      </c>
      <c r="R126" s="162">
        <f>IFERROR((R116-L116)/L116,0)</f>
        <v>1.5498806526501686E-2</v>
      </c>
      <c r="S126" s="54"/>
      <c r="T126" s="161">
        <f>IFERROR((T116-Q116)/Q116,0)</f>
        <v>0.13133640552995399</v>
      </c>
      <c r="U126" s="162">
        <f>IFERROR((U116-R116)/R116,0)</f>
        <v>0.1291013298129246</v>
      </c>
      <c r="V126" s="54"/>
      <c r="W126" s="161">
        <f>IFERROR((W116-T116)/T116,0)</f>
        <v>7.1283095723014181E-2</v>
      </c>
      <c r="X126" s="162">
        <f>IFERROR((X116-U116)/U116,0)</f>
        <v>7.0651476480401501E-2</v>
      </c>
      <c r="Y126" s="54"/>
      <c r="Z126" s="161">
        <f>IFERROR((Z116-W116)/W116,0)</f>
        <v>2.0912547528517171E-2</v>
      </c>
      <c r="AA126" s="162">
        <f>IFERROR((AA116-X116)/X116,0)</f>
        <v>2.1627956531003606E-2</v>
      </c>
      <c r="AB126" s="54"/>
      <c r="AC126" s="161">
        <f>IFERROR((AC116-Z116)/Z116,0)</f>
        <v>3.3519553072625642E-2</v>
      </c>
      <c r="AD126" s="162">
        <f>IFERROR((AD116-AA116)/AA116,0)</f>
        <v>3.4271039733027447E-2</v>
      </c>
      <c r="AE126" s="54"/>
      <c r="AF126" s="161">
        <f>IFERROR((AF116-AC116)/AC116,0)</f>
        <v>3.9639639639639596E-2</v>
      </c>
      <c r="AG126" s="162">
        <f>IFERROR((AG116-AD116)/AD116,0)</f>
        <v>4.0042348848640608E-2</v>
      </c>
      <c r="AI126" s="163">
        <f t="shared" si="175"/>
        <v>-3.7243947858473861E-3</v>
      </c>
      <c r="AJ126" s="162">
        <f t="shared" si="175"/>
        <v>-2.2291166962144227E-3</v>
      </c>
      <c r="AK126" s="54"/>
      <c r="AL126" s="161">
        <f t="shared" si="176"/>
        <v>-1.652999498600892E-3</v>
      </c>
      <c r="AM126" s="162">
        <f t="shared" si="176"/>
        <v>-9.0744489318448501E-4</v>
      </c>
      <c r="AN126" s="54"/>
      <c r="AO126" s="163">
        <f t="shared" si="177"/>
        <v>-2.420856610800743E-2</v>
      </c>
      <c r="AP126" s="162">
        <f t="shared" si="177"/>
        <v>-2.3829387840233522E-2</v>
      </c>
      <c r="AQ126" s="54"/>
      <c r="AR126" s="161">
        <f t="shared" si="178"/>
        <v>6.1889354142874095E-3</v>
      </c>
      <c r="AS126" s="162">
        <f t="shared" si="178"/>
        <v>7.0864173969780175E-3</v>
      </c>
      <c r="AU126" s="163">
        <v>3.7243947858473028E-2</v>
      </c>
      <c r="AV126" s="162">
        <v>3.650015642924187E-2</v>
      </c>
      <c r="AW126" s="54"/>
      <c r="AX126" s="161">
        <v>4.1292639138240488E-2</v>
      </c>
      <c r="AY126" s="162">
        <v>4.0949793741825093E-2</v>
      </c>
      <c r="BA126" s="163">
        <v>5.7728119180633072E-2</v>
      </c>
      <c r="BB126" s="162">
        <v>5.810042757326097E-2</v>
      </c>
      <c r="BC126" s="54"/>
      <c r="BD126" s="161">
        <v>3.3450704225352186E-2</v>
      </c>
      <c r="BE126" s="162">
        <v>3.295593145166259E-2</v>
      </c>
    </row>
    <row r="127" spans="2:57" hidden="1" outlineLevel="1" x14ac:dyDescent="0.4">
      <c r="C127" s="39"/>
      <c r="D127" s="39"/>
      <c r="E127" s="52"/>
      <c r="F127" s="53"/>
      <c r="G127" s="54"/>
      <c r="H127" s="20"/>
      <c r="I127" s="53"/>
      <c r="J127" s="54"/>
      <c r="K127" s="20"/>
      <c r="L127" s="53"/>
      <c r="M127" s="54"/>
      <c r="N127" s="20"/>
      <c r="O127" s="53"/>
      <c r="P127" s="54"/>
      <c r="Q127" s="20"/>
      <c r="R127" s="53"/>
      <c r="S127" s="54"/>
      <c r="T127" s="20"/>
      <c r="U127" s="53"/>
      <c r="V127" s="54"/>
      <c r="W127" s="20"/>
      <c r="X127" s="53"/>
      <c r="Y127" s="54"/>
      <c r="Z127" s="20"/>
      <c r="AA127" s="53"/>
      <c r="AB127" s="54"/>
      <c r="AC127" s="20"/>
      <c r="AD127" s="53"/>
      <c r="AE127" s="54"/>
      <c r="AF127" s="20"/>
      <c r="AG127" s="53"/>
      <c r="AI127" s="69"/>
      <c r="AJ127" s="53"/>
      <c r="AK127" s="54"/>
      <c r="AL127" s="20"/>
      <c r="AM127" s="53"/>
      <c r="AN127" s="54"/>
      <c r="AO127" s="69"/>
      <c r="AP127" s="53"/>
      <c r="AQ127" s="54"/>
      <c r="AR127" s="20"/>
      <c r="AS127" s="53"/>
      <c r="AU127" s="69"/>
      <c r="AV127" s="53"/>
      <c r="AW127" s="54"/>
      <c r="AX127" s="20"/>
      <c r="AY127" s="53"/>
      <c r="BA127" s="69"/>
      <c r="BB127" s="53"/>
      <c r="BC127" s="54"/>
      <c r="BD127" s="20"/>
      <c r="BE127" s="53"/>
    </row>
    <row r="128" spans="2:57" hidden="1" outlineLevel="1" x14ac:dyDescent="0.4">
      <c r="B128" s="103" t="s">
        <v>58</v>
      </c>
      <c r="F128" s="104"/>
      <c r="I128" s="104"/>
      <c r="K128" s="164" t="s">
        <v>59</v>
      </c>
      <c r="L128" s="104"/>
      <c r="N128" s="164" t="s">
        <v>59</v>
      </c>
      <c r="O128" s="104"/>
      <c r="R128" s="104"/>
      <c r="T128" s="8"/>
      <c r="U128" s="104"/>
      <c r="W128" s="8"/>
      <c r="X128" s="104"/>
      <c r="Z128" s="8"/>
      <c r="AA128" s="104"/>
      <c r="AC128" s="8"/>
      <c r="AD128" s="104"/>
      <c r="AF128" s="8"/>
      <c r="AG128" s="104"/>
      <c r="AI128" s="89"/>
      <c r="AJ128" s="104"/>
      <c r="AL128" s="165"/>
      <c r="AM128" s="104"/>
      <c r="AO128" s="89"/>
      <c r="AP128" s="104"/>
      <c r="AR128" s="165"/>
      <c r="AS128" s="104"/>
      <c r="AU128" s="89"/>
      <c r="AV128" s="104"/>
      <c r="AX128" s="8"/>
      <c r="AY128" s="104"/>
      <c r="BA128" s="89"/>
      <c r="BB128" s="104"/>
      <c r="BD128" s="8"/>
      <c r="BE128" s="104"/>
    </row>
    <row r="129" spans="2:62" hidden="1" outlineLevel="1" x14ac:dyDescent="0.4">
      <c r="C129" s="56" t="s">
        <v>17</v>
      </c>
      <c r="D129" s="57"/>
      <c r="E129" s="166">
        <f t="shared" ref="E129:E133" si="188">F129/F$137</f>
        <v>0.58255579236365118</v>
      </c>
      <c r="F129" s="112">
        <f>(E109*12*F19)+F109*F30</f>
        <v>10755850.017586788</v>
      </c>
      <c r="G129" s="54"/>
      <c r="H129" s="167"/>
      <c r="I129" s="112">
        <f>(H109*12*I19)+I109*I30</f>
        <v>10481128.815244485</v>
      </c>
      <c r="J129" s="54"/>
      <c r="K129" s="168">
        <f>L129-K75</f>
        <v>10590616.361784119</v>
      </c>
      <c r="L129" s="112">
        <f>(K109*12*L19)+L109*L30</f>
        <v>10590616.361784119</v>
      </c>
      <c r="M129" s="54"/>
      <c r="N129" s="168">
        <f>O129-N75</f>
        <v>10855065.185071699</v>
      </c>
      <c r="O129" s="112">
        <f>(N109*12*O19)+O109*O30</f>
        <v>10855065.185071699</v>
      </c>
      <c r="P129" s="54"/>
      <c r="Q129" s="166">
        <f t="shared" ref="Q129:Q133" si="189">R129/R$137</f>
        <v>0.58790149968736438</v>
      </c>
      <c r="R129" s="112">
        <f>(Q109*12*R19)+R109*R30</f>
        <v>10876393.120942552</v>
      </c>
      <c r="S129" s="54"/>
      <c r="T129" s="166">
        <f t="shared" ref="T129:T133" si="190">U129/U$137</f>
        <v>0.60623318431697215</v>
      </c>
      <c r="U129" s="112">
        <f>(T109*12*U19)+U109*U30</f>
        <v>12868841.085861348</v>
      </c>
      <c r="V129" s="54"/>
      <c r="W129" s="166">
        <f t="shared" ref="W129:W133" si="191">X129/X$137</f>
        <v>0.61422091084194719</v>
      </c>
      <c r="X129" s="112">
        <f>(W109*12*X19)+X109*X30</f>
        <v>13937931.943574123</v>
      </c>
      <c r="Y129" s="54"/>
      <c r="Z129" s="8"/>
      <c r="AA129" s="112">
        <f>(Z109*12*AA19)+AA109*AA30</f>
        <v>14327732.226762358</v>
      </c>
      <c r="AB129" s="54"/>
      <c r="AC129" s="8"/>
      <c r="AD129" s="112">
        <f>(AC109*12*AD19)+AD109*AD30</f>
        <v>15009968.314822717</v>
      </c>
      <c r="AE129" s="54"/>
      <c r="AF129" s="8"/>
      <c r="AG129" s="112">
        <f>(AF109*12*AG19)+AG109*AG30</f>
        <v>15848853.665395984</v>
      </c>
      <c r="AI129" s="89">
        <f t="shared" ref="AI129:AJ137" si="192">AC129-AU129</f>
        <v>0</v>
      </c>
      <c r="AJ129" s="112">
        <f t="shared" si="192"/>
        <v>62040.86120874621</v>
      </c>
      <c r="AK129" s="54"/>
      <c r="AL129" s="165">
        <f t="shared" ref="AL129:AM137" si="193">AF129-AX129</f>
        <v>0</v>
      </c>
      <c r="AM129" s="112">
        <f t="shared" si="193"/>
        <v>101588.16584679298</v>
      </c>
      <c r="AN129" s="54"/>
      <c r="AO129" s="89">
        <f t="shared" ref="AO129:AP137" si="194">AC129-BA129</f>
        <v>0</v>
      </c>
      <c r="AP129" s="112">
        <f t="shared" si="194"/>
        <v>-522936.45425103419</v>
      </c>
      <c r="AQ129" s="54"/>
      <c r="AR129" s="165">
        <f t="shared" ref="AR129:AS137" si="195">AF129-BD129</f>
        <v>0</v>
      </c>
      <c r="AS129" s="112">
        <f t="shared" si="195"/>
        <v>-637392.16803004965</v>
      </c>
      <c r="AU129" s="89"/>
      <c r="AV129" s="112">
        <v>14947927.45361397</v>
      </c>
      <c r="AW129" s="54"/>
      <c r="AX129" s="8"/>
      <c r="AY129" s="112">
        <v>15747265.499549191</v>
      </c>
      <c r="BA129" s="89"/>
      <c r="BB129" s="112">
        <v>15532904.769073751</v>
      </c>
      <c r="BC129" s="54"/>
      <c r="BD129" s="8"/>
      <c r="BE129" s="112">
        <v>16486245.833426034</v>
      </c>
    </row>
    <row r="130" spans="2:62" hidden="1" outlineLevel="1" x14ac:dyDescent="0.4">
      <c r="C130" s="56" t="s">
        <v>18</v>
      </c>
      <c r="D130" s="57"/>
      <c r="E130" s="166">
        <f t="shared" si="188"/>
        <v>0.13947931698443969</v>
      </c>
      <c r="F130" s="112">
        <f>(E110*12*F20)+F110*F31</f>
        <v>2575235.9408411668</v>
      </c>
      <c r="G130" s="54"/>
      <c r="H130" s="167"/>
      <c r="I130" s="112">
        <f>(H110*12*I20)+I110*I31</f>
        <v>2587715.1309271888</v>
      </c>
      <c r="J130" s="54"/>
      <c r="K130" s="168">
        <f t="shared" ref="K130:K137" si="196">L130-K76</f>
        <v>2600009.9106640816</v>
      </c>
      <c r="L130" s="112">
        <f>(K110*12*L20)+L110*L31</f>
        <v>2600009.9106640816</v>
      </c>
      <c r="M130" s="54"/>
      <c r="N130" s="168">
        <f t="shared" ref="N130:N137" si="197">O130-N76</f>
        <v>2683883.1674464368</v>
      </c>
      <c r="O130" s="112">
        <f>(N110*12*O20)+O110*O31</f>
        <v>2683883.1674464368</v>
      </c>
      <c r="P130" s="54"/>
      <c r="Q130" s="166">
        <f t="shared" si="189"/>
        <v>0.14349159732854072</v>
      </c>
      <c r="R130" s="112">
        <f>(Q110*12*R20)+R110*R31</f>
        <v>2654647.118483515</v>
      </c>
      <c r="S130" s="54"/>
      <c r="T130" s="166">
        <f t="shared" si="190"/>
        <v>0.12725331450157915</v>
      </c>
      <c r="U130" s="112">
        <f>(T110*12*U20)+U110*U31</f>
        <v>2701275.2259924593</v>
      </c>
      <c r="V130" s="54"/>
      <c r="W130" s="166">
        <f t="shared" si="191"/>
        <v>0.12771825896878231</v>
      </c>
      <c r="X130" s="112">
        <f>(W110*12*X20)+X110*X31</f>
        <v>2898189.1857418874</v>
      </c>
      <c r="Y130" s="54"/>
      <c r="Z130" s="8"/>
      <c r="AA130" s="112">
        <f>(Z110*12*AA20)+AA110*AA31</f>
        <v>2978089.6218222729</v>
      </c>
      <c r="AB130" s="54"/>
      <c r="AC130" s="8"/>
      <c r="AD130" s="112">
        <f>(AC110*12*AD20)+AD110*AD31</f>
        <v>3099539.1898979014</v>
      </c>
      <c r="AE130" s="54"/>
      <c r="AF130" s="8"/>
      <c r="AG130" s="112">
        <f>(AF110*12*AG20)+AG110*AG31</f>
        <v>3242964.1325030061</v>
      </c>
      <c r="AI130" s="89">
        <f t="shared" si="192"/>
        <v>0</v>
      </c>
      <c r="AJ130" s="112">
        <f t="shared" si="192"/>
        <v>82584.662422622554</v>
      </c>
      <c r="AK130" s="54"/>
      <c r="AL130" s="165">
        <f t="shared" si="193"/>
        <v>0</v>
      </c>
      <c r="AM130" s="112">
        <f t="shared" si="193"/>
        <v>97212.177613265347</v>
      </c>
      <c r="AN130" s="54"/>
      <c r="AO130" s="89">
        <f t="shared" si="194"/>
        <v>0</v>
      </c>
      <c r="AP130" s="112">
        <f t="shared" si="194"/>
        <v>-108745.16296865046</v>
      </c>
      <c r="AQ130" s="54"/>
      <c r="AR130" s="165">
        <f t="shared" si="195"/>
        <v>0</v>
      </c>
      <c r="AS130" s="112">
        <f t="shared" si="195"/>
        <v>-129874.48296598345</v>
      </c>
      <c r="AU130" s="89"/>
      <c r="AV130" s="112">
        <v>3016954.5274752788</v>
      </c>
      <c r="AW130" s="54"/>
      <c r="AX130" s="8"/>
      <c r="AY130" s="112">
        <v>3145751.9548897408</v>
      </c>
      <c r="BA130" s="89"/>
      <c r="BB130" s="112">
        <v>3208284.3528665518</v>
      </c>
      <c r="BC130" s="54"/>
      <c r="BD130" s="8"/>
      <c r="BE130" s="112">
        <v>3372838.6154689896</v>
      </c>
    </row>
    <row r="131" spans="2:62" hidden="1" outlineLevel="1" x14ac:dyDescent="0.4">
      <c r="C131" s="56" t="s">
        <v>19</v>
      </c>
      <c r="D131" s="57"/>
      <c r="E131" s="166">
        <f t="shared" si="188"/>
        <v>0.1937143704430305</v>
      </c>
      <c r="F131" s="112">
        <f>(E111*12*F21)+F111*F43</f>
        <v>3576589.1302576773</v>
      </c>
      <c r="G131" s="54"/>
      <c r="H131" s="167"/>
      <c r="I131" s="112">
        <f>(H111*12*I21)+I111*I43</f>
        <v>3312784.0396824032</v>
      </c>
      <c r="J131" s="54"/>
      <c r="K131" s="168">
        <f t="shared" si="196"/>
        <v>3270578.1359999995</v>
      </c>
      <c r="L131" s="112">
        <f>(K111*12*L21)+L111*L43</f>
        <v>3334458.1559999995</v>
      </c>
      <c r="M131" s="54"/>
      <c r="N131" s="168">
        <f t="shared" si="197"/>
        <v>3473417.6704892362</v>
      </c>
      <c r="O131" s="112">
        <f>(N111*12*O21)+O111*O43</f>
        <v>3542486.8332156879</v>
      </c>
      <c r="P131" s="54"/>
      <c r="Q131" s="166">
        <f t="shared" si="189"/>
        <v>0.18086238241460445</v>
      </c>
      <c r="R131" s="112">
        <f>(Q111*12*R21)+R111*R43</f>
        <v>3346020.3333000005</v>
      </c>
      <c r="S131" s="54"/>
      <c r="T131" s="166">
        <f t="shared" si="190"/>
        <v>0.18189323014612868</v>
      </c>
      <c r="U131" s="112">
        <f>(T111*12*U21)+U111*U43</f>
        <v>3861146.393663364</v>
      </c>
      <c r="V131" s="54"/>
      <c r="W131" s="166">
        <f t="shared" si="191"/>
        <v>0.18384271727269338</v>
      </c>
      <c r="X131" s="112">
        <f>(W111*12*X21)+X111*X43</f>
        <v>4171768.229375537</v>
      </c>
      <c r="Y131" s="54"/>
      <c r="Z131" s="8"/>
      <c r="AA131" s="112">
        <f>(Z111*12*AA21)+AA111*AA43</f>
        <v>4289009.9340463392</v>
      </c>
      <c r="AB131" s="54"/>
      <c r="AC131" s="8"/>
      <c r="AD131" s="112">
        <f>(AC111*12*AD21)+AD111*AD43</f>
        <v>4468489.9472424788</v>
      </c>
      <c r="AE131" s="54"/>
      <c r="AF131" s="8"/>
      <c r="AG131" s="112">
        <f>(AF111*12*AG21)+AG111*AG43</f>
        <v>4686365.6883632354</v>
      </c>
      <c r="AI131" s="89">
        <f t="shared" si="192"/>
        <v>0</v>
      </c>
      <c r="AJ131" s="112">
        <f t="shared" si="192"/>
        <v>172045.6127765812</v>
      </c>
      <c r="AK131" s="54"/>
      <c r="AL131" s="165">
        <f t="shared" si="193"/>
        <v>0</v>
      </c>
      <c r="AM131" s="112">
        <f t="shared" si="193"/>
        <v>204963.58852214552</v>
      </c>
      <c r="AN131" s="54"/>
      <c r="AO131" s="89">
        <f t="shared" si="194"/>
        <v>0</v>
      </c>
      <c r="AP131" s="112">
        <f t="shared" si="194"/>
        <v>-154563.44996110909</v>
      </c>
      <c r="AQ131" s="54"/>
      <c r="AR131" s="165">
        <f t="shared" si="195"/>
        <v>0</v>
      </c>
      <c r="AS131" s="112">
        <f t="shared" si="195"/>
        <v>-184927.09225145914</v>
      </c>
      <c r="AU131" s="89"/>
      <c r="AV131" s="112">
        <v>4296444.3344658976</v>
      </c>
      <c r="AW131" s="54"/>
      <c r="AX131" s="8"/>
      <c r="AY131" s="112">
        <v>4481402.0998410899</v>
      </c>
      <c r="BA131" s="89"/>
      <c r="BB131" s="112">
        <v>4623053.3972035879</v>
      </c>
      <c r="BC131" s="54"/>
      <c r="BD131" s="8"/>
      <c r="BE131" s="112">
        <v>4871292.7806146946</v>
      </c>
    </row>
    <row r="132" spans="2:62" hidden="1" outlineLevel="1" x14ac:dyDescent="0.4">
      <c r="C132" s="56" t="s">
        <v>20</v>
      </c>
      <c r="D132" s="57"/>
      <c r="E132" s="166">
        <f t="shared" si="188"/>
        <v>3.0598762614218455E-2</v>
      </c>
      <c r="F132" s="112">
        <f>(E112*12*F22)+F112*F44</f>
        <v>564951.38442779449</v>
      </c>
      <c r="G132" s="54"/>
      <c r="H132" s="167"/>
      <c r="I132" s="112">
        <f>(H112*12*I22)+I112*I44</f>
        <v>606479.23491749028</v>
      </c>
      <c r="J132" s="54"/>
      <c r="K132" s="168">
        <f t="shared" si="196"/>
        <v>523734.71070000005</v>
      </c>
      <c r="L132" s="112">
        <f>(K112*12*L22)+L112*L44</f>
        <v>629097.44070000004</v>
      </c>
      <c r="M132" s="54"/>
      <c r="N132" s="168">
        <f t="shared" si="197"/>
        <v>484598.00579740497</v>
      </c>
      <c r="O132" s="112">
        <f>(N112*12*O22)+O112*O44</f>
        <v>574001.93353068782</v>
      </c>
      <c r="P132" s="54"/>
      <c r="Q132" s="166">
        <f t="shared" si="189"/>
        <v>3.487854943254251E-2</v>
      </c>
      <c r="R132" s="112">
        <f>(Q112*12*R22)+R112*R44</f>
        <v>645265.94219999993</v>
      </c>
      <c r="S132" s="54"/>
      <c r="T132" s="166">
        <f t="shared" si="190"/>
        <v>2.779204844413059E-2</v>
      </c>
      <c r="U132" s="112">
        <f>(T112*12*U22)+U112*U44</f>
        <v>589956.90788691095</v>
      </c>
      <c r="V132" s="54"/>
      <c r="W132" s="166">
        <f t="shared" si="191"/>
        <v>2.7423506407412691E-2</v>
      </c>
      <c r="X132" s="112">
        <f>(W112*12*X22)+X112*X44</f>
        <v>622295.59302490531</v>
      </c>
      <c r="Y132" s="54"/>
      <c r="Z132" s="8"/>
      <c r="AA132" s="112">
        <f>(Z112*12*AA22)+AA112*AA44</f>
        <v>630027.23003772041</v>
      </c>
      <c r="AB132" s="54"/>
      <c r="AC132" s="8"/>
      <c r="AD132" s="112">
        <f>(AC112*12*AD22)+AD112*AD44</f>
        <v>643159.23718530382</v>
      </c>
      <c r="AE132" s="54"/>
      <c r="AF132" s="8"/>
      <c r="AG132" s="112">
        <f>(AF112*12*AG22)+AG112*AG44</f>
        <v>659934.10863533232</v>
      </c>
      <c r="AI132" s="89">
        <f t="shared" si="192"/>
        <v>0</v>
      </c>
      <c r="AJ132" s="112">
        <f t="shared" si="192"/>
        <v>41109.952143944916</v>
      </c>
      <c r="AK132" s="54"/>
      <c r="AL132" s="165">
        <f t="shared" si="193"/>
        <v>0</v>
      </c>
      <c r="AM132" s="112">
        <f t="shared" si="193"/>
        <v>19091.246954694972</v>
      </c>
      <c r="AN132" s="54"/>
      <c r="AO132" s="89">
        <f t="shared" si="194"/>
        <v>0</v>
      </c>
      <c r="AP132" s="112">
        <f t="shared" si="194"/>
        <v>-68264.256539094378</v>
      </c>
      <c r="AQ132" s="54"/>
      <c r="AR132" s="165">
        <f t="shared" si="195"/>
        <v>0</v>
      </c>
      <c r="AS132" s="112">
        <f t="shared" si="195"/>
        <v>-66451.492450171383</v>
      </c>
      <c r="AU132" s="89"/>
      <c r="AV132" s="112">
        <v>602049.2850413589</v>
      </c>
      <c r="AW132" s="54"/>
      <c r="AX132" s="8"/>
      <c r="AY132" s="112">
        <v>640842.86168063735</v>
      </c>
      <c r="BA132" s="89"/>
      <c r="BB132" s="112">
        <v>711423.4937243982</v>
      </c>
      <c r="BC132" s="54"/>
      <c r="BD132" s="8"/>
      <c r="BE132" s="112">
        <v>726385.6010855037</v>
      </c>
    </row>
    <row r="133" spans="2:62" hidden="1" outlineLevel="1" x14ac:dyDescent="0.4">
      <c r="C133" s="56" t="s">
        <v>21</v>
      </c>
      <c r="D133" s="57"/>
      <c r="E133" s="166">
        <f t="shared" si="188"/>
        <v>1.2883427276847405E-2</v>
      </c>
      <c r="F133" s="112">
        <f>(E113*12*F23)+F113*F45</f>
        <v>237869.42524426189</v>
      </c>
      <c r="G133" s="54"/>
      <c r="H133" s="167"/>
      <c r="I133" s="112">
        <f>(H113*12*I23)+I113*I45</f>
        <v>275810.37741679716</v>
      </c>
      <c r="J133" s="54"/>
      <c r="K133" s="168">
        <f t="shared" si="196"/>
        <v>229608.54539999997</v>
      </c>
      <c r="L133" s="112">
        <f>(K113*12*L23)+L113*L45</f>
        <v>285260.69539999997</v>
      </c>
      <c r="M133" s="54"/>
      <c r="N133" s="168">
        <f t="shared" si="197"/>
        <v>243295.91250211286</v>
      </c>
      <c r="O133" s="112">
        <f>(N113*12*O23)+O113*O45</f>
        <v>302775.4937466007</v>
      </c>
      <c r="P133" s="54"/>
      <c r="Q133" s="166">
        <f t="shared" si="189"/>
        <v>1.5707939714739796E-2</v>
      </c>
      <c r="R133" s="112">
        <f>(Q113*12*R23)+R113*R45</f>
        <v>290602.63930000004</v>
      </c>
      <c r="S133" s="54"/>
      <c r="T133" s="166">
        <f t="shared" si="190"/>
        <v>1.3379162176879102E-2</v>
      </c>
      <c r="U133" s="112">
        <f>(T113*12*U23)+U113*U45</f>
        <v>284006.74257086148</v>
      </c>
      <c r="V133" s="54"/>
      <c r="W133" s="166">
        <f t="shared" si="191"/>
        <v>1.3202484756943902E-2</v>
      </c>
      <c r="X133" s="112">
        <f>(W113*12*X23)+X113*X45</f>
        <v>299591.45118670526</v>
      </c>
      <c r="Y133" s="54"/>
      <c r="Z133" s="8"/>
      <c r="AA133" s="112">
        <f>(Z113*12*AA23)+AA113*AA45</f>
        <v>305253.28303499304</v>
      </c>
      <c r="AB133" s="54"/>
      <c r="AC133" s="8"/>
      <c r="AD133" s="112">
        <f>(AC113*12*AD23)+AD113*AD45</f>
        <v>313568.78968135011</v>
      </c>
      <c r="AE133" s="54"/>
      <c r="AF133" s="8"/>
      <c r="AG133" s="112">
        <f>(AF113*12*AG23)+AG113*AG45</f>
        <v>322862.83898577816</v>
      </c>
      <c r="AI133" s="89">
        <f t="shared" si="192"/>
        <v>0</v>
      </c>
      <c r="AJ133" s="112">
        <f t="shared" si="192"/>
        <v>12676.084533197863</v>
      </c>
      <c r="AK133" s="54"/>
      <c r="AL133" s="165">
        <f t="shared" si="193"/>
        <v>0</v>
      </c>
      <c r="AM133" s="112">
        <f t="shared" si="193"/>
        <v>16566.42954092013</v>
      </c>
      <c r="AN133" s="54"/>
      <c r="AO133" s="89">
        <f t="shared" si="194"/>
        <v>0</v>
      </c>
      <c r="AP133" s="112">
        <f t="shared" si="194"/>
        <v>-5888.2076567074982</v>
      </c>
      <c r="AQ133" s="54"/>
      <c r="AR133" s="165">
        <f t="shared" si="195"/>
        <v>0</v>
      </c>
      <c r="AS133" s="112">
        <f t="shared" si="195"/>
        <v>-4271.0283137994702</v>
      </c>
      <c r="AU133" s="89"/>
      <c r="AV133" s="112">
        <v>300892.70514815225</v>
      </c>
      <c r="AW133" s="54"/>
      <c r="AX133" s="8"/>
      <c r="AY133" s="112">
        <v>306296.40944485803</v>
      </c>
      <c r="BA133" s="89"/>
      <c r="BB133" s="112">
        <v>319456.99733805761</v>
      </c>
      <c r="BC133" s="54"/>
      <c r="BD133" s="8"/>
      <c r="BE133" s="112">
        <v>327133.86729957763</v>
      </c>
    </row>
    <row r="134" spans="2:62" hidden="1" outlineLevel="1" x14ac:dyDescent="0.4">
      <c r="C134" s="56" t="s">
        <v>22</v>
      </c>
      <c r="D134" s="57"/>
      <c r="E134" s="166">
        <f>F134/F$137</f>
        <v>3.7701678513649924E-2</v>
      </c>
      <c r="F134" s="112">
        <f>(E114*12*F24)+F114*F46</f>
        <v>696094.0133455192</v>
      </c>
      <c r="G134" s="54"/>
      <c r="H134" s="167"/>
      <c r="I134" s="112">
        <f>(H114*12*I24)+I114*I46</f>
        <v>656102.25542756612</v>
      </c>
      <c r="J134" s="54"/>
      <c r="K134" s="168">
        <f t="shared" si="196"/>
        <v>622527.01212099998</v>
      </c>
      <c r="L134" s="112">
        <f>(K114*12*L24)+L114*L46</f>
        <v>622527.01212099998</v>
      </c>
      <c r="M134" s="54"/>
      <c r="N134" s="168">
        <f t="shared" si="197"/>
        <v>622293.68748200522</v>
      </c>
      <c r="O134" s="112">
        <f>(N114*12*O24)+O114*O46</f>
        <v>622293.68748200522</v>
      </c>
      <c r="P134" s="54"/>
      <c r="Q134" s="166">
        <f>R134/R$137</f>
        <v>3.4531111004622736E-2</v>
      </c>
      <c r="R134" s="112">
        <f>(Q114*12*R24)+R114*R46</f>
        <v>638838.20399999991</v>
      </c>
      <c r="S134" s="54"/>
      <c r="T134" s="166">
        <f>U134/U$137</f>
        <v>4.057001721788963E-2</v>
      </c>
      <c r="U134" s="112">
        <f>(T114*12*U24)+U114*U46</f>
        <v>861201.79154479166</v>
      </c>
      <c r="V134" s="54"/>
      <c r="W134" s="166">
        <f>X134/X$137</f>
        <v>3.0722838169597502E-2</v>
      </c>
      <c r="X134" s="112">
        <f>(W114*12*X24)+X114*X46</f>
        <v>697164.19607778569</v>
      </c>
      <c r="Y134" s="54"/>
      <c r="Z134" s="8"/>
      <c r="AA134" s="112">
        <f>(Z114*12*AA24)+AA114*AA46</f>
        <v>705815.95122158458</v>
      </c>
      <c r="AB134" s="54"/>
      <c r="AC134" s="8"/>
      <c r="AD134" s="112">
        <f>(AC114*12*AD24)+AD114*AD46</f>
        <v>744547.36206354667</v>
      </c>
      <c r="AE134" s="54"/>
      <c r="AF134" s="8"/>
      <c r="AG134" s="112">
        <f>(AF114*12*AG24)+AG114*AG46</f>
        <v>789128.80341667985</v>
      </c>
      <c r="AI134" s="89">
        <f t="shared" si="192"/>
        <v>0</v>
      </c>
      <c r="AJ134" s="112">
        <f t="shared" si="192"/>
        <v>12468.380519996746</v>
      </c>
      <c r="AK134" s="54"/>
      <c r="AL134" s="165">
        <f t="shared" si="193"/>
        <v>0</v>
      </c>
      <c r="AM134" s="112">
        <f t="shared" si="193"/>
        <v>2918.4974290854298</v>
      </c>
      <c r="AN134" s="54"/>
      <c r="AO134" s="89">
        <f t="shared" si="194"/>
        <v>0</v>
      </c>
      <c r="AP134" s="112">
        <f t="shared" si="194"/>
        <v>-23191.671910048928</v>
      </c>
      <c r="AQ134" s="54"/>
      <c r="AR134" s="165">
        <f t="shared" si="195"/>
        <v>0</v>
      </c>
      <c r="AS134" s="112">
        <f t="shared" si="195"/>
        <v>-19925.393883438315</v>
      </c>
      <c r="AU134" s="89"/>
      <c r="AV134" s="112">
        <v>732078.98154354992</v>
      </c>
      <c r="AW134" s="54"/>
      <c r="AX134" s="8"/>
      <c r="AY134" s="112">
        <v>786210.30598759442</v>
      </c>
      <c r="BA134" s="89"/>
      <c r="BB134" s="112">
        <v>767739.03397359559</v>
      </c>
      <c r="BC134" s="54"/>
      <c r="BD134" s="8"/>
      <c r="BE134" s="112">
        <v>809054.19730011816</v>
      </c>
    </row>
    <row r="135" spans="2:62" hidden="1" outlineLevel="1" x14ac:dyDescent="0.4">
      <c r="C135" s="56" t="s">
        <v>23</v>
      </c>
      <c r="D135" s="57"/>
      <c r="E135" s="166">
        <f t="shared" ref="E135:E136" si="198">F135/F$137</f>
        <v>2.9677455379377633E-3</v>
      </c>
      <c r="F135" s="112">
        <f>(E115*12*F25)+F115*F36</f>
        <v>54794.109533967276</v>
      </c>
      <c r="G135" s="54"/>
      <c r="H135" s="167"/>
      <c r="I135" s="112">
        <f>(H115*12*I25)+I115*I36</f>
        <v>48604.591434897229</v>
      </c>
      <c r="J135" s="54"/>
      <c r="K135" s="168">
        <f t="shared" si="196"/>
        <v>49088.909685378349</v>
      </c>
      <c r="L135" s="112">
        <f>(K115*12*L25)+L115*L36</f>
        <v>49088.909685378349</v>
      </c>
      <c r="M135" s="54"/>
      <c r="N135" s="168">
        <f t="shared" si="197"/>
        <v>48816.749495751268</v>
      </c>
      <c r="O135" s="112">
        <f>(N115*12*O25)+O115*O36</f>
        <v>48816.749495751268</v>
      </c>
      <c r="P135" s="54"/>
      <c r="Q135" s="166">
        <f t="shared" ref="Q135:Q136" si="199">R135/R$137</f>
        <v>2.6269204175853418E-3</v>
      </c>
      <c r="R135" s="112">
        <f>(Q115*12*R25)+R115*R36</f>
        <v>48598.990093208682</v>
      </c>
      <c r="S135" s="54"/>
      <c r="T135" s="166">
        <f t="shared" ref="T135:T136" si="200">U135/U$137</f>
        <v>2.7814985558487866E-3</v>
      </c>
      <c r="U135" s="112">
        <f>(T115*12*U25)+U115*U36</f>
        <v>59044.380647192418</v>
      </c>
      <c r="V135" s="54"/>
      <c r="W135" s="166">
        <f t="shared" ref="W135:W136" si="201">X135/X$137</f>
        <v>2.7749864727631113E-3</v>
      </c>
      <c r="X135" s="112">
        <f>(W115*12*X25)+X115*X36</f>
        <v>62970.133251721323</v>
      </c>
      <c r="Y135" s="54"/>
      <c r="Z135" s="8"/>
      <c r="AA135" s="112">
        <f>(Z115*12*AA25)+AA115*AA36</f>
        <v>64104.465789719543</v>
      </c>
      <c r="AB135" s="54"/>
      <c r="AC135" s="8"/>
      <c r="AD135" s="112">
        <f>(AC115*12*AD25)+AD115*AD36</f>
        <v>65825.059222951357</v>
      </c>
      <c r="AE135" s="54"/>
      <c r="AF135" s="8"/>
      <c r="AG135" s="112">
        <f>(AF115*12*AG25)+AG115*AG36</f>
        <v>67968.40256972058</v>
      </c>
      <c r="AI135" s="89">
        <f t="shared" si="192"/>
        <v>0</v>
      </c>
      <c r="AJ135" s="112">
        <f t="shared" si="192"/>
        <v>3163.6035209504043</v>
      </c>
      <c r="AK135" s="54"/>
      <c r="AL135" s="165">
        <f t="shared" si="193"/>
        <v>0</v>
      </c>
      <c r="AM135" s="112">
        <f t="shared" si="193"/>
        <v>1781.1516069205827</v>
      </c>
      <c r="AN135" s="54"/>
      <c r="AO135" s="89">
        <f t="shared" si="194"/>
        <v>0</v>
      </c>
      <c r="AP135" s="112">
        <f t="shared" si="194"/>
        <v>-2446.3865916279756</v>
      </c>
      <c r="AQ135" s="54"/>
      <c r="AR135" s="165">
        <f t="shared" si="195"/>
        <v>0</v>
      </c>
      <c r="AS135" s="112">
        <f t="shared" si="195"/>
        <v>-1833.9332968396338</v>
      </c>
      <c r="AU135" s="89"/>
      <c r="AV135" s="112">
        <v>62661.455702000952</v>
      </c>
      <c r="AW135" s="54"/>
      <c r="AX135" s="8"/>
      <c r="AY135" s="112">
        <v>66187.250962799997</v>
      </c>
      <c r="BA135" s="89"/>
      <c r="BB135" s="112">
        <v>68271.445814579332</v>
      </c>
      <c r="BC135" s="54"/>
      <c r="BD135" s="8"/>
      <c r="BE135" s="112">
        <v>69802.335866560214</v>
      </c>
    </row>
    <row r="136" spans="2:62" hidden="1" outlineLevel="1" x14ac:dyDescent="0.4">
      <c r="C136" s="56" t="s">
        <v>24</v>
      </c>
      <c r="D136" s="57"/>
      <c r="E136" s="166">
        <f t="shared" si="198"/>
        <v>9.8906266225300436E-5</v>
      </c>
      <c r="F136" s="112">
        <f>(E116*12*F26)+F116*F48</f>
        <v>1826.1271783128507</v>
      </c>
      <c r="G136" s="54"/>
      <c r="H136" s="167"/>
      <c r="I136" s="112">
        <f>(H116*12*I26)+I116*I48</f>
        <v>6.0511586978122311E-2</v>
      </c>
      <c r="J136" s="54"/>
      <c r="K136" s="168">
        <f t="shared" si="196"/>
        <v>6.1166000000000005E-2</v>
      </c>
      <c r="L136" s="112">
        <f>(K116*12*L26)+L116*L48</f>
        <v>6.1166000000000005E-2</v>
      </c>
      <c r="M136" s="54"/>
      <c r="N136" s="168">
        <f t="shared" si="197"/>
        <v>1257.9160239272362</v>
      </c>
      <c r="O136" s="112">
        <f>(N116*12*O26)+O116*O48</f>
        <v>1257.9160239272362</v>
      </c>
      <c r="P136" s="54"/>
      <c r="Q136" s="166">
        <f t="shared" si="199"/>
        <v>0</v>
      </c>
      <c r="R136" s="112">
        <f>(Q116*12*R26)+R116*R48</f>
        <v>0</v>
      </c>
      <c r="S136" s="54"/>
      <c r="T136" s="166">
        <f t="shared" si="200"/>
        <v>9.7544640571744872E-5</v>
      </c>
      <c r="U136" s="112">
        <f>(T116*12*U26)+U116*U48</f>
        <v>2070.6330678838508</v>
      </c>
      <c r="V136" s="54"/>
      <c r="W136" s="166">
        <f t="shared" si="201"/>
        <v>9.4297109859772411E-5</v>
      </c>
      <c r="X136" s="112">
        <f>(W116*12*X26)+X116*X48</f>
        <v>2139.7947814893605</v>
      </c>
      <c r="Y136" s="54"/>
      <c r="Z136" s="8"/>
      <c r="AA136" s="112">
        <f>(Z116*12*AA26)+AA116*AA48</f>
        <v>2109.4191706341212</v>
      </c>
      <c r="AB136" s="54"/>
      <c r="AC136" s="8"/>
      <c r="AD136" s="112">
        <f>(AC116*12*AD26)+AD116*AD48</f>
        <v>2103.1241913435169</v>
      </c>
      <c r="AE136" s="54"/>
      <c r="AF136" s="8"/>
      <c r="AG136" s="112">
        <f>(AF116*12*AG26)+AG116*AG48</f>
        <v>2106.5484059941418</v>
      </c>
      <c r="AI136" s="89">
        <f t="shared" si="192"/>
        <v>0</v>
      </c>
      <c r="AJ136" s="112">
        <f t="shared" si="192"/>
        <v>-183.350500135125</v>
      </c>
      <c r="AK136" s="54"/>
      <c r="AL136" s="165">
        <f t="shared" si="193"/>
        <v>0</v>
      </c>
      <c r="AM136" s="112">
        <f t="shared" si="193"/>
        <v>-199.70250330845101</v>
      </c>
      <c r="AN136" s="54"/>
      <c r="AO136" s="89">
        <f t="shared" si="194"/>
        <v>0</v>
      </c>
      <c r="AP136" s="112">
        <f t="shared" si="194"/>
        <v>-48.99293037510688</v>
      </c>
      <c r="AQ136" s="54"/>
      <c r="AR136" s="165">
        <f t="shared" si="195"/>
        <v>0</v>
      </c>
      <c r="AS136" s="112">
        <f t="shared" si="195"/>
        <v>-35.62854154879733</v>
      </c>
      <c r="AU136" s="89"/>
      <c r="AV136" s="112">
        <v>2286.4746914786419</v>
      </c>
      <c r="AW136" s="54"/>
      <c r="AX136" s="8"/>
      <c r="AY136" s="112">
        <v>2306.2509093025928</v>
      </c>
      <c r="BA136" s="89"/>
      <c r="BB136" s="112">
        <v>2152.1171217186238</v>
      </c>
      <c r="BC136" s="54"/>
      <c r="BD136" s="8"/>
      <c r="BE136" s="112">
        <v>2142.1769475429392</v>
      </c>
    </row>
    <row r="137" spans="2:62" hidden="1" outlineLevel="1" x14ac:dyDescent="0.4">
      <c r="C137" s="64" t="s">
        <v>25</v>
      </c>
      <c r="D137" s="65"/>
      <c r="E137" s="63"/>
      <c r="F137" s="102">
        <f>SUM(F129:F136)</f>
        <v>18463210.148415484</v>
      </c>
      <c r="G137" s="54"/>
      <c r="H137" s="143"/>
      <c r="I137" s="102">
        <f>SUM(I129:I136)</f>
        <v>17968624.50556241</v>
      </c>
      <c r="J137" s="54"/>
      <c r="K137" s="169">
        <f t="shared" si="196"/>
        <v>17886163.647520576</v>
      </c>
      <c r="L137" s="102">
        <f>SUM(L129:L136)</f>
        <v>18111058.547520574</v>
      </c>
      <c r="M137" s="54"/>
      <c r="N137" s="169">
        <f t="shared" si="197"/>
        <v>18412628.29430858</v>
      </c>
      <c r="O137" s="102">
        <f>SUM(O129:O136)</f>
        <v>18630580.966012802</v>
      </c>
      <c r="P137" s="54"/>
      <c r="Q137" s="143"/>
      <c r="R137" s="102">
        <f>SUM(R129:R136)</f>
        <v>18500366.348319277</v>
      </c>
      <c r="S137" s="54"/>
      <c r="T137" s="83">
        <f>SUM(T131:T136)</f>
        <v>0.26651350118144856</v>
      </c>
      <c r="U137" s="102">
        <f>SUM(U129:U136)</f>
        <v>21227543.161234815</v>
      </c>
      <c r="V137" s="54"/>
      <c r="W137" s="83">
        <f>SUM(W131:W136)</f>
        <v>0.25806083018927034</v>
      </c>
      <c r="X137" s="102">
        <f>SUM(X129:X136)</f>
        <v>22692050.527014159</v>
      </c>
      <c r="Y137" s="54"/>
      <c r="Z137" s="83">
        <f>SUM(Z131:Z136)</f>
        <v>0</v>
      </c>
      <c r="AA137" s="102">
        <f>SUM(AA129:AA136)</f>
        <v>23302142.131885618</v>
      </c>
      <c r="AB137" s="54"/>
      <c r="AC137" s="83">
        <f>SUM(AC131:AC136)</f>
        <v>0</v>
      </c>
      <c r="AD137" s="102">
        <f>SUM(AD129:AD136)</f>
        <v>24347201.02430759</v>
      </c>
      <c r="AE137" s="54"/>
      <c r="AF137" s="83">
        <f>SUM(AF131:AF136)</f>
        <v>0</v>
      </c>
      <c r="AG137" s="102">
        <f>SUM(AG129:AG136)</f>
        <v>25620184.188275732</v>
      </c>
      <c r="AI137" s="170">
        <f t="shared" si="192"/>
        <v>0</v>
      </c>
      <c r="AJ137" s="102">
        <f t="shared" si="192"/>
        <v>385905.80662590265</v>
      </c>
      <c r="AK137" s="54"/>
      <c r="AL137" s="5">
        <f t="shared" si="193"/>
        <v>0</v>
      </c>
      <c r="AM137" s="102">
        <f t="shared" si="193"/>
        <v>443921.55501051992</v>
      </c>
      <c r="AN137" s="54"/>
      <c r="AO137" s="170">
        <f t="shared" si="194"/>
        <v>0</v>
      </c>
      <c r="AP137" s="102">
        <f t="shared" si="194"/>
        <v>-886084.58280865103</v>
      </c>
      <c r="AQ137" s="54"/>
      <c r="AR137" s="5">
        <f t="shared" si="195"/>
        <v>0</v>
      </c>
      <c r="AS137" s="102">
        <f t="shared" si="195"/>
        <v>-1044711.2197332866</v>
      </c>
      <c r="AU137" s="170">
        <v>0</v>
      </c>
      <c r="AV137" s="102">
        <v>23961295.217681687</v>
      </c>
      <c r="AW137" s="54"/>
      <c r="AX137" s="83">
        <v>0</v>
      </c>
      <c r="AY137" s="102">
        <v>25176262.633265212</v>
      </c>
      <c r="BA137" s="170">
        <v>0</v>
      </c>
      <c r="BB137" s="102">
        <v>25233285.607116241</v>
      </c>
      <c r="BC137" s="54"/>
      <c r="BD137" s="83">
        <v>0</v>
      </c>
      <c r="BE137" s="102">
        <v>26664895.408009019</v>
      </c>
    </row>
    <row r="138" spans="2:62" ht="3.95" hidden="1" customHeight="1" outlineLevel="1" x14ac:dyDescent="0.4">
      <c r="C138" s="64"/>
      <c r="D138" s="65"/>
      <c r="E138" s="63"/>
      <c r="F138" s="102"/>
      <c r="G138" s="54"/>
      <c r="H138" s="143"/>
      <c r="I138" s="102"/>
      <c r="J138" s="54"/>
      <c r="K138" s="143"/>
      <c r="L138" s="102"/>
      <c r="M138" s="54"/>
      <c r="N138" s="143"/>
      <c r="O138" s="102"/>
      <c r="P138" s="54"/>
      <c r="Q138" s="143"/>
      <c r="R138" s="102"/>
      <c r="S138" s="54"/>
      <c r="T138" s="143"/>
      <c r="U138" s="102"/>
      <c r="V138" s="54"/>
      <c r="W138" s="143"/>
      <c r="X138" s="102"/>
      <c r="Y138" s="54"/>
      <c r="Z138" s="143"/>
      <c r="AA138" s="102"/>
      <c r="AB138" s="54"/>
      <c r="AC138" s="143"/>
      <c r="AD138" s="102"/>
      <c r="AE138" s="54"/>
      <c r="AF138" s="143"/>
      <c r="AG138" s="102"/>
      <c r="AI138" s="144"/>
      <c r="AJ138" s="102"/>
      <c r="AK138" s="54"/>
      <c r="AL138" s="143"/>
      <c r="AM138" s="102"/>
      <c r="AN138" s="54"/>
      <c r="AO138" s="144"/>
      <c r="AP138" s="102"/>
      <c r="AQ138" s="54"/>
      <c r="AR138" s="143"/>
      <c r="AS138" s="102"/>
      <c r="AU138" s="144"/>
      <c r="AV138" s="102"/>
      <c r="AW138" s="54"/>
      <c r="AX138" s="143"/>
      <c r="AY138" s="102"/>
      <c r="BA138" s="144"/>
      <c r="BB138" s="102"/>
      <c r="BC138" s="54"/>
      <c r="BD138" s="143"/>
      <c r="BE138" s="102"/>
    </row>
    <row r="139" spans="2:62" hidden="1" outlineLevel="1" x14ac:dyDescent="0.4">
      <c r="C139" s="171" t="s">
        <v>60</v>
      </c>
      <c r="D139" s="171"/>
      <c r="E139" s="172">
        <f>F139/F83</f>
        <v>1.0748058544474153E-4</v>
      </c>
      <c r="F139" s="173">
        <f>F137-F83</f>
        <v>1984.2233704514802</v>
      </c>
      <c r="G139" s="54"/>
      <c r="H139" s="172">
        <f>I139/I83</f>
        <v>-3.6919937720555104E-3</v>
      </c>
      <c r="I139" s="173">
        <f>I137-I83</f>
        <v>-66585.884437590837</v>
      </c>
      <c r="J139" s="54"/>
      <c r="K139" s="172">
        <f>L139/L83</f>
        <v>-2.1441909026696342E-3</v>
      </c>
      <c r="L139" s="173">
        <f>L137-L83</f>
        <v>-38917.012479428202</v>
      </c>
      <c r="M139" s="54"/>
      <c r="N139" s="172">
        <f>O139/O83</f>
        <v>1.6311977419143305E-2</v>
      </c>
      <c r="O139" s="173">
        <f>O137-O83</f>
        <v>299023.94419758767</v>
      </c>
      <c r="P139" s="54"/>
      <c r="Q139" s="172">
        <f>R139/R83</f>
        <v>8.784202727514321E-3</v>
      </c>
      <c r="R139" s="173">
        <f>R137-R83</f>
        <v>161095.86975839734</v>
      </c>
      <c r="S139" s="54"/>
      <c r="T139" s="172">
        <f>U139/U83</f>
        <v>8.6422156238462756E-4</v>
      </c>
      <c r="U139" s="173">
        <f>U137-U83</f>
        <v>18329.459802001715</v>
      </c>
      <c r="V139" s="54"/>
      <c r="W139" s="172">
        <f>X139/X83</f>
        <v>8.3459426271312092E-4</v>
      </c>
      <c r="X139" s="173">
        <f>X137-X83</f>
        <v>18922.862266760319</v>
      </c>
      <c r="Y139" s="54"/>
      <c r="Z139" s="172">
        <f>AA139/AA83</f>
        <v>-4.8959696038770103E-4</v>
      </c>
      <c r="AA139" s="173">
        <f>AA137-AA83</f>
        <v>-11414.246338605881</v>
      </c>
      <c r="AB139" s="54"/>
      <c r="AC139" s="172">
        <f>AD139/AD83</f>
        <v>-1.4113350598737325E-4</v>
      </c>
      <c r="AD139" s="173">
        <f>AD137-AD83</f>
        <v>-3436.6908737719059</v>
      </c>
      <c r="AE139" s="54"/>
      <c r="AF139" s="172">
        <f>AG139/AG83</f>
        <v>-1.9726295690945231E-4</v>
      </c>
      <c r="AG139" s="173">
        <f>AG137-AG83</f>
        <v>-5054.9104361236095</v>
      </c>
      <c r="AI139" s="172">
        <f t="shared" ref="AI139:AJ139" si="202">AC139-AU139</f>
        <v>-4.4246247699377414E-4</v>
      </c>
      <c r="AJ139" s="173">
        <f t="shared" si="202"/>
        <v>-10654.748295880854</v>
      </c>
      <c r="AK139" s="54"/>
      <c r="AL139" s="174">
        <f t="shared" ref="AL139:AM139" si="203">AF139-AX139</f>
        <v>2.3893249969422591E-4</v>
      </c>
      <c r="AM139" s="173">
        <f t="shared" si="203"/>
        <v>5931.6532279215753</v>
      </c>
      <c r="AN139" s="54"/>
      <c r="AO139" s="172">
        <f>AC139-BA139</f>
        <v>-7.2221475498916157E-4</v>
      </c>
      <c r="AP139" s="173">
        <f>AD139-BB139</f>
        <v>-18090.764783203602</v>
      </c>
      <c r="AQ139" s="54"/>
      <c r="AR139" s="174">
        <f>AF139-BD139</f>
        <v>-7.6214685945595714E-4</v>
      </c>
      <c r="AS139" s="173">
        <f>AG139-BE139</f>
        <v>-20108.976815428585</v>
      </c>
      <c r="AU139" s="172">
        <v>3.0132897100640089E-4</v>
      </c>
      <c r="AV139" s="173">
        <v>7218.0574221089482</v>
      </c>
      <c r="AW139" s="54"/>
      <c r="AX139" s="172">
        <v>-4.3619545660367821E-4</v>
      </c>
      <c r="AY139" s="173">
        <v>-10986.563664045185</v>
      </c>
      <c r="BA139" s="172">
        <v>5.8108124900178827E-4</v>
      </c>
      <c r="BB139" s="173">
        <v>14654.073909431696</v>
      </c>
      <c r="BC139" s="54"/>
      <c r="BD139" s="172">
        <v>5.6488390254650484E-4</v>
      </c>
      <c r="BE139" s="173">
        <v>15054.066379304975</v>
      </c>
    </row>
    <row r="140" spans="2:62" hidden="1" outlineLevel="1" x14ac:dyDescent="0.4">
      <c r="F140" s="104"/>
      <c r="I140" s="112"/>
      <c r="L140" s="104"/>
      <c r="O140" s="104"/>
      <c r="R140" s="104"/>
      <c r="U140" s="175"/>
      <c r="X140" s="104"/>
      <c r="AA140" s="104"/>
      <c r="AD140" s="112"/>
      <c r="AG140" s="104"/>
      <c r="AI140" s="22"/>
      <c r="AJ140" s="104"/>
      <c r="AM140" s="104"/>
      <c r="AO140" s="22"/>
      <c r="AP140" s="104"/>
      <c r="AS140" s="104"/>
      <c r="AU140" s="22"/>
      <c r="AV140" s="112"/>
      <c r="AY140" s="104"/>
      <c r="BA140" s="22"/>
      <c r="BB140" s="104"/>
      <c r="BE140" s="104"/>
    </row>
    <row r="141" spans="2:62" hidden="1" outlineLevel="1" x14ac:dyDescent="0.4">
      <c r="B141" s="103" t="s">
        <v>61</v>
      </c>
      <c r="F141" s="104"/>
      <c r="I141" s="104"/>
      <c r="L141" s="104"/>
      <c r="O141" s="104"/>
      <c r="R141" s="104"/>
      <c r="T141" s="176" t="s">
        <v>62</v>
      </c>
      <c r="U141" s="177" t="s">
        <v>63</v>
      </c>
      <c r="W141" s="176" t="s">
        <v>62</v>
      </c>
      <c r="X141" s="177" t="s">
        <v>63</v>
      </c>
      <c r="Z141" s="176" t="s">
        <v>62</v>
      </c>
      <c r="AA141" s="177" t="s">
        <v>63</v>
      </c>
      <c r="AC141" s="176" t="s">
        <v>62</v>
      </c>
      <c r="AD141" s="177" t="s">
        <v>63</v>
      </c>
      <c r="AF141" s="176" t="s">
        <v>62</v>
      </c>
      <c r="AG141" s="177" t="s">
        <v>63</v>
      </c>
      <c r="AH141" s="178"/>
      <c r="AI141" s="179" t="s">
        <v>62</v>
      </c>
      <c r="AJ141" s="177" t="s">
        <v>63</v>
      </c>
      <c r="AL141" s="176" t="s">
        <v>62</v>
      </c>
      <c r="AM141" s="177" t="s">
        <v>63</v>
      </c>
      <c r="AO141" s="179" t="s">
        <v>62</v>
      </c>
      <c r="AP141" s="177" t="s">
        <v>63</v>
      </c>
      <c r="AR141" s="176" t="s">
        <v>62</v>
      </c>
      <c r="AS141" s="177" t="s">
        <v>63</v>
      </c>
      <c r="AT141" s="178"/>
      <c r="AU141" s="179" t="s">
        <v>62</v>
      </c>
      <c r="AV141" s="177" t="s">
        <v>63</v>
      </c>
      <c r="AX141" s="176" t="s">
        <v>62</v>
      </c>
      <c r="AY141" s="177" t="s">
        <v>63</v>
      </c>
      <c r="AZ141" s="178"/>
      <c r="BA141" s="179" t="s">
        <v>62</v>
      </c>
      <c r="BB141" s="177" t="s">
        <v>63</v>
      </c>
      <c r="BD141" s="176" t="s">
        <v>62</v>
      </c>
      <c r="BE141" s="177" t="s">
        <v>63</v>
      </c>
      <c r="BF141" s="178"/>
      <c r="BG141" s="178"/>
      <c r="BH141" s="178"/>
      <c r="BI141" s="178"/>
      <c r="BJ141" s="178"/>
    </row>
    <row r="142" spans="2:62" hidden="1" outlineLevel="1" x14ac:dyDescent="0.4">
      <c r="C142" s="56" t="s">
        <v>17</v>
      </c>
      <c r="D142" s="57"/>
      <c r="E142" s="58"/>
      <c r="F142" s="112"/>
      <c r="G142" s="54"/>
      <c r="H142" s="167"/>
      <c r="I142" s="112"/>
      <c r="J142" s="54"/>
      <c r="K142" s="167"/>
      <c r="L142" s="112"/>
      <c r="M142" s="54"/>
      <c r="N142" s="167"/>
      <c r="O142" s="112"/>
      <c r="P142" s="54"/>
      <c r="Q142" s="167"/>
      <c r="R142" s="112"/>
      <c r="S142" s="54"/>
      <c r="T142" s="180"/>
      <c r="U142" s="181">
        <f>(Q109*U19*12)+(R109*U30)</f>
        <v>11041060.8599687</v>
      </c>
      <c r="V142" s="54"/>
      <c r="W142" s="180"/>
      <c r="X142" s="181">
        <f>(T109*X19*12)+(U109*X30)</f>
        <v>13005709.954151014</v>
      </c>
      <c r="Y142" s="54"/>
      <c r="Z142" s="180"/>
      <c r="AA142" s="181">
        <f>(W109*AA19*12)+(X109*AA30)</f>
        <v>14055357.215147242</v>
      </c>
      <c r="AB142" s="54"/>
      <c r="AC142" s="180"/>
      <c r="AD142" s="181">
        <f>(Z109*AD19*12)+(AA109*AD30)</f>
        <v>14513623.633695947</v>
      </c>
      <c r="AE142" s="54"/>
      <c r="AF142" s="180"/>
      <c r="AG142" s="181">
        <f>(AC109*AG19*12)+(AD109*AG30)</f>
        <v>15237741.636066455</v>
      </c>
      <c r="AH142" s="178"/>
      <c r="AI142" s="182"/>
      <c r="AJ142" s="181">
        <f t="shared" ref="AJ142:AJ150" si="204">AD142-AV142</f>
        <v>98869.625722613186</v>
      </c>
      <c r="AK142" s="54"/>
      <c r="AL142" s="180"/>
      <c r="AM142" s="181">
        <f t="shared" ref="AM142:AM150" si="205">AG142-AY142</f>
        <v>99555.752184070647</v>
      </c>
      <c r="AN142" s="54"/>
      <c r="AO142" s="182"/>
      <c r="AP142" s="181">
        <f t="shared" ref="AP142:AP150" si="206">AD142-BB142</f>
        <v>-158690.60969622247</v>
      </c>
      <c r="AQ142" s="54"/>
      <c r="AR142" s="180"/>
      <c r="AS142" s="181">
        <f t="shared" ref="AS142:AS150" si="207">AG142-BE142</f>
        <v>-703405.7459349446</v>
      </c>
      <c r="AT142" s="178"/>
      <c r="AU142" s="182"/>
      <c r="AV142" s="181">
        <v>14414754.007973334</v>
      </c>
      <c r="AW142" s="54"/>
      <c r="AX142" s="180"/>
      <c r="AY142" s="181">
        <v>15138185.883882385</v>
      </c>
      <c r="AZ142" s="178"/>
      <c r="BA142" s="182"/>
      <c r="BB142" s="181">
        <v>14672314.243392169</v>
      </c>
      <c r="BC142" s="54"/>
      <c r="BD142" s="180"/>
      <c r="BE142" s="181">
        <v>15941147.3820014</v>
      </c>
      <c r="BF142" s="178"/>
      <c r="BG142" s="178"/>
      <c r="BH142" s="178"/>
      <c r="BI142" s="178"/>
      <c r="BJ142" s="178"/>
    </row>
    <row r="143" spans="2:62" hidden="1" outlineLevel="1" x14ac:dyDescent="0.4">
      <c r="C143" s="56" t="s">
        <v>18</v>
      </c>
      <c r="D143" s="57"/>
      <c r="E143" s="58"/>
      <c r="F143" s="112"/>
      <c r="G143" s="54"/>
      <c r="H143" s="167"/>
      <c r="I143" s="112"/>
      <c r="J143" s="54"/>
      <c r="K143" s="167"/>
      <c r="L143" s="112"/>
      <c r="M143" s="54"/>
      <c r="N143" s="167"/>
      <c r="O143" s="112"/>
      <c r="P143" s="54"/>
      <c r="Q143" s="167"/>
      <c r="R143" s="112"/>
      <c r="S143" s="54"/>
      <c r="T143" s="180"/>
      <c r="U143" s="181">
        <f>(Q110*U20*12)+(R110*U31)</f>
        <v>2681580.7362321499</v>
      </c>
      <c r="V143" s="54"/>
      <c r="W143" s="180"/>
      <c r="X143" s="181">
        <f>(T110*X20*12)+(U110*X31)</f>
        <v>2723847.2614994757</v>
      </c>
      <c r="Y143" s="54"/>
      <c r="Z143" s="180"/>
      <c r="AA143" s="181">
        <f>(W110*AA20*12)+(X110*AA31)</f>
        <v>2913178.4142602938</v>
      </c>
      <c r="AB143" s="54"/>
      <c r="AC143" s="180"/>
      <c r="AD143" s="181">
        <f>(Z110*AD20*12)+(AA110*AD31)</f>
        <v>2999613.0161491437</v>
      </c>
      <c r="AE143" s="54"/>
      <c r="AF143" s="180"/>
      <c r="AG143" s="181">
        <f>(AC110*AG20*12)+(AD110*AG31)</f>
        <v>3124150.0949356286</v>
      </c>
      <c r="AH143" s="178"/>
      <c r="AI143" s="182"/>
      <c r="AJ143" s="181">
        <f t="shared" si="204"/>
        <v>90674.003785925452</v>
      </c>
      <c r="AK143" s="54"/>
      <c r="AL143" s="180"/>
      <c r="AM143" s="181">
        <f t="shared" si="205"/>
        <v>102236.45148048829</v>
      </c>
      <c r="AN143" s="54"/>
      <c r="AO143" s="182"/>
      <c r="AP143" s="181">
        <f t="shared" si="206"/>
        <v>-32986.019394204952</v>
      </c>
      <c r="AQ143" s="54"/>
      <c r="AR143" s="180"/>
      <c r="AS143" s="181">
        <f t="shared" si="207"/>
        <v>-145841.44923078455</v>
      </c>
      <c r="AT143" s="178"/>
      <c r="AU143" s="182"/>
      <c r="AV143" s="181">
        <v>2908939.0123632182</v>
      </c>
      <c r="AW143" s="54"/>
      <c r="AX143" s="180"/>
      <c r="AY143" s="181">
        <v>3021913.6434551403</v>
      </c>
      <c r="AZ143" s="178"/>
      <c r="BA143" s="182"/>
      <c r="BB143" s="181">
        <v>3032599.0355433486</v>
      </c>
      <c r="BC143" s="54"/>
      <c r="BD143" s="180"/>
      <c r="BE143" s="181">
        <v>3269991.5441664131</v>
      </c>
      <c r="BF143" s="178"/>
      <c r="BG143" s="178"/>
      <c r="BH143" s="178"/>
      <c r="BI143" s="178"/>
      <c r="BJ143" s="178"/>
    </row>
    <row r="144" spans="2:62" hidden="1" outlineLevel="1" x14ac:dyDescent="0.4">
      <c r="C144" s="56" t="s">
        <v>19</v>
      </c>
      <c r="D144" s="57"/>
      <c r="E144" s="58"/>
      <c r="F144" s="112"/>
      <c r="G144" s="54"/>
      <c r="H144" s="167"/>
      <c r="I144" s="112"/>
      <c r="J144" s="54"/>
      <c r="K144" s="167"/>
      <c r="L144" s="112"/>
      <c r="M144" s="54"/>
      <c r="N144" s="167"/>
      <c r="O144" s="112"/>
      <c r="P144" s="54"/>
      <c r="Q144" s="167"/>
      <c r="R144" s="112"/>
      <c r="S144" s="54"/>
      <c r="T144" s="183">
        <f>T67*R$65</f>
        <v>-66477.515050139424</v>
      </c>
      <c r="U144" s="181">
        <f>(Q111*U21*12)+(R111*U43)</f>
        <v>3422896.8627149267</v>
      </c>
      <c r="V144" s="54"/>
      <c r="W144" s="183">
        <f>W67*U$65</f>
        <v>-67136.429119048174</v>
      </c>
      <c r="X144" s="181">
        <f>(T111*X21*12)+(U111*X43)</f>
        <v>3900923.9429853177</v>
      </c>
      <c r="Y144" s="54"/>
      <c r="Z144" s="183">
        <f>Z67*X$65</f>
        <v>-67537.961086833093</v>
      </c>
      <c r="AA144" s="181">
        <f>(W111*AA21*12)+(X111*AA43)</f>
        <v>4199614.2755210707</v>
      </c>
      <c r="AB144" s="54"/>
      <c r="AC144" s="183">
        <f>AC67*AA$65</f>
        <v>-68006.871408894003</v>
      </c>
      <c r="AD144" s="181">
        <f>(Z111*AD21*12)+(AA111*AD43)</f>
        <v>4322675.1003602818</v>
      </c>
      <c r="AE144" s="54"/>
      <c r="AF144" s="183">
        <f>AF67*AD$65</f>
        <v>-68559.605751527357</v>
      </c>
      <c r="AG144" s="181">
        <f>(AC111*AG21*12)+(AD111*AG43)</f>
        <v>4508565.283939614</v>
      </c>
      <c r="AH144" s="178"/>
      <c r="AI144" s="184">
        <f t="shared" ref="AI144:AI146" si="208">AC144-AU144</f>
        <v>-2924.8996037229808</v>
      </c>
      <c r="AJ144" s="181">
        <f t="shared" si="204"/>
        <v>175238.43202913133</v>
      </c>
      <c r="AK144" s="54"/>
      <c r="AL144" s="185">
        <f t="shared" ref="AL144:AL146" si="209">AF144-AX144</f>
        <v>-3395.7801149592342</v>
      </c>
      <c r="AM144" s="181">
        <f t="shared" si="205"/>
        <v>200854.05623129569</v>
      </c>
      <c r="AN144" s="54"/>
      <c r="AO144" s="184">
        <f>AC144-BA144</f>
        <v>792.38488370348932</v>
      </c>
      <c r="AP144" s="181">
        <f t="shared" si="206"/>
        <v>-50238.719370761886</v>
      </c>
      <c r="AQ144" s="54"/>
      <c r="AR144" s="185">
        <f>AF144-BD144</f>
        <v>1599.3258064846741</v>
      </c>
      <c r="AS144" s="181">
        <f t="shared" si="207"/>
        <v>-209555.61928003747</v>
      </c>
      <c r="AT144" s="178"/>
      <c r="AU144" s="184">
        <v>-65081.971805171022</v>
      </c>
      <c r="AV144" s="181">
        <v>4147436.6683311504</v>
      </c>
      <c r="AW144" s="54"/>
      <c r="AX144" s="183">
        <v>-65163.825636568123</v>
      </c>
      <c r="AY144" s="181">
        <v>4307711.2277083183</v>
      </c>
      <c r="AZ144" s="178"/>
      <c r="BA144" s="184">
        <v>-68799.256292597493</v>
      </c>
      <c r="BB144" s="181">
        <v>4372913.8197310437</v>
      </c>
      <c r="BC144" s="54"/>
      <c r="BD144" s="183">
        <v>-70158.931558012031</v>
      </c>
      <c r="BE144" s="181">
        <v>4718120.9032196514</v>
      </c>
      <c r="BF144" s="178"/>
      <c r="BG144" s="178"/>
      <c r="BH144" s="178"/>
      <c r="BI144" s="178"/>
      <c r="BJ144" s="178"/>
    </row>
    <row r="145" spans="2:62" hidden="1" outlineLevel="1" x14ac:dyDescent="0.4">
      <c r="C145" s="56" t="s">
        <v>20</v>
      </c>
      <c r="D145" s="57"/>
      <c r="E145" s="58"/>
      <c r="F145" s="112"/>
      <c r="G145" s="54"/>
      <c r="H145" s="167"/>
      <c r="I145" s="112"/>
      <c r="J145" s="54"/>
      <c r="K145" s="167"/>
      <c r="L145" s="112"/>
      <c r="M145" s="54"/>
      <c r="N145" s="167"/>
      <c r="O145" s="112"/>
      <c r="P145" s="54"/>
      <c r="Q145" s="167"/>
      <c r="R145" s="112"/>
      <c r="S145" s="54"/>
      <c r="T145" s="183">
        <f>T68*R$65</f>
        <v>-109679.6171671044</v>
      </c>
      <c r="U145" s="181">
        <f>(Q112*U22*12)+(R112*U44)</f>
        <v>682268.36092155892</v>
      </c>
      <c r="V145" s="54"/>
      <c r="W145" s="183">
        <f>W68*U$65</f>
        <v>-109307.05246829765</v>
      </c>
      <c r="X145" s="181">
        <f>(T112*X22*12)+(U112*X44)</f>
        <v>588454.10889238119</v>
      </c>
      <c r="Y145" s="54"/>
      <c r="Z145" s="183">
        <f>Z68*X$65</f>
        <v>-108529.9774326934</v>
      </c>
      <c r="AA145" s="181">
        <f>(W112*AA22*12)+(X112*AA44)</f>
        <v>618994.65082816582</v>
      </c>
      <c r="AB145" s="54"/>
      <c r="AC145" s="183">
        <f>AC68*AA$65</f>
        <v>-107457.87363462322</v>
      </c>
      <c r="AD145" s="181">
        <f>(Z112*AD22*12)+(AA112*AD44)</f>
        <v>625397.80456318567</v>
      </c>
      <c r="AE145" s="54"/>
      <c r="AF145" s="183">
        <f>AF68*AD$65</f>
        <v>-106433.13049549499</v>
      </c>
      <c r="AG145" s="181">
        <f>(AC112*AG22*12)+(AD112*AG44)</f>
        <v>638617.70050552464</v>
      </c>
      <c r="AH145" s="178"/>
      <c r="AI145" s="184">
        <f t="shared" si="208"/>
        <v>-13286.443847520146</v>
      </c>
      <c r="AJ145" s="181">
        <f t="shared" si="204"/>
        <v>41233.215757569531</v>
      </c>
      <c r="AK145" s="54"/>
      <c r="AL145" s="185">
        <f t="shared" si="209"/>
        <v>-11501.519273357</v>
      </c>
      <c r="AM145" s="181">
        <f t="shared" si="205"/>
        <v>19254.033262706012</v>
      </c>
      <c r="AN145" s="54"/>
      <c r="AO145" s="184">
        <f>AC145-BA145</f>
        <v>9242.4002593524492</v>
      </c>
      <c r="AP145" s="181">
        <f t="shared" si="206"/>
        <v>-53358.264971409226</v>
      </c>
      <c r="AQ145" s="54"/>
      <c r="AR145" s="185">
        <f>AF145-BD145</f>
        <v>9263.4607510991045</v>
      </c>
      <c r="AS145" s="181">
        <f t="shared" si="207"/>
        <v>-68278.228975006612</v>
      </c>
      <c r="AT145" s="178"/>
      <c r="AU145" s="184">
        <v>-94171.429787103072</v>
      </c>
      <c r="AV145" s="181">
        <v>584164.58880561613</v>
      </c>
      <c r="AW145" s="54"/>
      <c r="AX145" s="183">
        <v>-94931.611222137988</v>
      </c>
      <c r="AY145" s="181">
        <v>619363.66724281863</v>
      </c>
      <c r="AZ145" s="178"/>
      <c r="BA145" s="184">
        <v>-116700.27389397567</v>
      </c>
      <c r="BB145" s="181">
        <v>678756.06953459489</v>
      </c>
      <c r="BC145" s="54"/>
      <c r="BD145" s="183">
        <v>-115696.59124659409</v>
      </c>
      <c r="BE145" s="181">
        <v>706895.92948053125</v>
      </c>
      <c r="BF145" s="178"/>
      <c r="BG145" s="178"/>
      <c r="BH145" s="178"/>
      <c r="BI145" s="178"/>
      <c r="BJ145" s="178"/>
    </row>
    <row r="146" spans="2:62" hidden="1" outlineLevel="1" x14ac:dyDescent="0.4">
      <c r="C146" s="56" t="s">
        <v>21</v>
      </c>
      <c r="D146" s="57"/>
      <c r="E146" s="58"/>
      <c r="F146" s="112"/>
      <c r="G146" s="54"/>
      <c r="H146" s="167"/>
      <c r="I146" s="112"/>
      <c r="J146" s="54"/>
      <c r="K146" s="167"/>
      <c r="L146" s="112"/>
      <c r="M146" s="54"/>
      <c r="N146" s="167"/>
      <c r="O146" s="112"/>
      <c r="P146" s="54"/>
      <c r="Q146" s="167"/>
      <c r="R146" s="112"/>
      <c r="S146" s="54"/>
      <c r="T146" s="183">
        <f>T69*R$65</f>
        <v>-57870.53202541967</v>
      </c>
      <c r="U146" s="181">
        <f>(Q113*U23*12)+(R113*U45)</f>
        <v>297269.6301207724</v>
      </c>
      <c r="V146" s="54"/>
      <c r="W146" s="183">
        <f>W69*U$65</f>
        <v>-57899.060885069113</v>
      </c>
      <c r="X146" s="181">
        <f>(T113*X23*12)+(U113*X45)</f>
        <v>284100.53536189627</v>
      </c>
      <c r="Y146" s="54"/>
      <c r="Z146" s="183">
        <f>Z69*X$65</f>
        <v>-58023.771397193537</v>
      </c>
      <c r="AA146" s="181">
        <f>(W113*AA23*12)+(X113*AA45)</f>
        <v>300020.99305919872</v>
      </c>
      <c r="AB146" s="54"/>
      <c r="AC146" s="183">
        <f>AC69*AA$65</f>
        <v>-57978.308439572858</v>
      </c>
      <c r="AD146" s="181">
        <f>(Z113*AD23*12)+(AA113*AD45)</f>
        <v>305094.29249494203</v>
      </c>
      <c r="AE146" s="54"/>
      <c r="AF146" s="183">
        <f>AF69*AD$65</f>
        <v>-57724.708737521163</v>
      </c>
      <c r="AG146" s="181">
        <f>(AC113*AG23*12)+(AD113*AG45)</f>
        <v>312660.18992979493</v>
      </c>
      <c r="AH146" s="178"/>
      <c r="AI146" s="184">
        <f t="shared" si="208"/>
        <v>-3684.9437203656926</v>
      </c>
      <c r="AJ146" s="181">
        <f t="shared" si="204"/>
        <v>12886.781301087933</v>
      </c>
      <c r="AK146" s="54"/>
      <c r="AL146" s="185">
        <f t="shared" si="209"/>
        <v>-4702.3137103483314</v>
      </c>
      <c r="AM146" s="181">
        <f t="shared" si="205"/>
        <v>16328.119010919472</v>
      </c>
      <c r="AN146" s="54"/>
      <c r="AO146" s="184">
        <f>AC146-BA146</f>
        <v>0</v>
      </c>
      <c r="AP146" s="181">
        <f t="shared" si="206"/>
        <v>0</v>
      </c>
      <c r="AQ146" s="54"/>
      <c r="AR146" s="185">
        <f>AF146-BD146</f>
        <v>0</v>
      </c>
      <c r="AS146" s="181">
        <f t="shared" si="207"/>
        <v>-5873.1185693322914</v>
      </c>
      <c r="AT146" s="178"/>
      <c r="AU146" s="184">
        <v>-54293.364719207166</v>
      </c>
      <c r="AV146" s="181">
        <v>292207.51119385409</v>
      </c>
      <c r="AW146" s="54"/>
      <c r="AX146" s="183">
        <v>-53022.395027172832</v>
      </c>
      <c r="AY146" s="181">
        <v>296332.07091887546</v>
      </c>
      <c r="AZ146" s="178"/>
      <c r="BA146" s="184">
        <v>-57978.308439572858</v>
      </c>
      <c r="BB146" s="181">
        <v>305094.29249494203</v>
      </c>
      <c r="BC146" s="54"/>
      <c r="BD146" s="183">
        <v>-57724.708737521163</v>
      </c>
      <c r="BE146" s="181">
        <v>318533.30849912722</v>
      </c>
      <c r="BF146" s="178"/>
      <c r="BG146" s="178"/>
      <c r="BH146" s="178"/>
      <c r="BI146" s="178"/>
      <c r="BJ146" s="178"/>
    </row>
    <row r="147" spans="2:62" hidden="1" outlineLevel="1" x14ac:dyDescent="0.4">
      <c r="C147" s="56" t="s">
        <v>22</v>
      </c>
      <c r="D147" s="57"/>
      <c r="E147" s="58"/>
      <c r="F147" s="112"/>
      <c r="G147" s="54"/>
      <c r="H147" s="167"/>
      <c r="I147" s="112"/>
      <c r="J147" s="54"/>
      <c r="K147" s="167"/>
      <c r="L147" s="112"/>
      <c r="M147" s="54"/>
      <c r="N147" s="167"/>
      <c r="O147" s="112"/>
      <c r="P147" s="54"/>
      <c r="Q147" s="167"/>
      <c r="R147" s="112"/>
      <c r="S147" s="54"/>
      <c r="T147" s="180"/>
      <c r="U147" s="181">
        <f>(Q114*U24*12)+(R114*U46)</f>
        <v>611347.97463450383</v>
      </c>
      <c r="V147" s="54"/>
      <c r="W147" s="180"/>
      <c r="X147" s="181">
        <f>(T114*X24*12)+(U114*X46)</f>
        <v>628768.3973233198</v>
      </c>
      <c r="Y147" s="54"/>
      <c r="Z147" s="180"/>
      <c r="AA147" s="181">
        <f>(W114*AA24*12)+(X114*AA46)</f>
        <v>672503.72017045296</v>
      </c>
      <c r="AB147" s="54"/>
      <c r="AC147" s="180"/>
      <c r="AD147" s="181">
        <f>(Z114*AD24*12)+(AA114*AD46)</f>
        <v>719217.62219461752</v>
      </c>
      <c r="AE147" s="54"/>
      <c r="AF147" s="180"/>
      <c r="AG147" s="181">
        <f>(AC114*AG24*12)+(AD114*AG46)</f>
        <v>758698.58714219695</v>
      </c>
      <c r="AH147" s="178"/>
      <c r="AI147" s="182"/>
      <c r="AJ147" s="181">
        <f t="shared" si="204"/>
        <v>12907.062345799408</v>
      </c>
      <c r="AK147" s="54"/>
      <c r="AL147" s="180"/>
      <c r="AM147" s="181">
        <f t="shared" si="205"/>
        <v>3182.573346526362</v>
      </c>
      <c r="AN147" s="54"/>
      <c r="AO147" s="182"/>
      <c r="AP147" s="181">
        <f t="shared" si="206"/>
        <v>-491.36934211547486</v>
      </c>
      <c r="AQ147" s="54"/>
      <c r="AR147" s="180"/>
      <c r="AS147" s="181">
        <f t="shared" si="207"/>
        <v>-24152.359975395724</v>
      </c>
      <c r="AT147" s="178"/>
      <c r="AU147" s="182"/>
      <c r="AV147" s="181">
        <v>706310.55984881811</v>
      </c>
      <c r="AW147" s="54"/>
      <c r="AX147" s="180"/>
      <c r="AY147" s="181">
        <v>755516.01379567059</v>
      </c>
      <c r="AZ147" s="178"/>
      <c r="BA147" s="182"/>
      <c r="BB147" s="181">
        <v>719708.991536733</v>
      </c>
      <c r="BC147" s="54"/>
      <c r="BD147" s="180"/>
      <c r="BE147" s="181">
        <v>782850.94711759267</v>
      </c>
      <c r="BF147" s="178"/>
      <c r="BG147" s="178"/>
      <c r="BH147" s="178"/>
      <c r="BI147" s="178"/>
      <c r="BJ147" s="178"/>
    </row>
    <row r="148" spans="2:62" hidden="1" outlineLevel="1" x14ac:dyDescent="0.4">
      <c r="C148" s="56" t="s">
        <v>23</v>
      </c>
      <c r="D148" s="57"/>
      <c r="E148" s="58"/>
      <c r="F148" s="112"/>
      <c r="G148" s="54"/>
      <c r="H148" s="167"/>
      <c r="I148" s="112"/>
      <c r="J148" s="54"/>
      <c r="K148" s="167"/>
      <c r="L148" s="112"/>
      <c r="M148" s="54"/>
      <c r="N148" s="167"/>
      <c r="O148" s="112"/>
      <c r="P148" s="54"/>
      <c r="Q148" s="167"/>
      <c r="R148" s="112"/>
      <c r="S148" s="54"/>
      <c r="T148" s="180"/>
      <c r="U148" s="181">
        <f>(Q115*U25*12)+(R115*U36)</f>
        <v>48393.383274871361</v>
      </c>
      <c r="V148" s="54"/>
      <c r="W148" s="180"/>
      <c r="X148" s="181">
        <f>(T115*X25*12)+(U115*X36)</f>
        <v>58738.93091560703</v>
      </c>
      <c r="Y148" s="54"/>
      <c r="Z148" s="180"/>
      <c r="AA148" s="181">
        <f>(W115*AA25*12)+(X115*AA36)</f>
        <v>62723.333075456598</v>
      </c>
      <c r="AB148" s="54"/>
      <c r="AC148" s="180"/>
      <c r="AD148" s="181">
        <f>(Z115*AD25*12)+(AA115*AD36)</f>
        <v>63712.893299152383</v>
      </c>
      <c r="AE148" s="54"/>
      <c r="AF148" s="180"/>
      <c r="AG148" s="181">
        <f>(AC115*AG25*12)+(AD115*AG36)</f>
        <v>65248.024712944054</v>
      </c>
      <c r="AH148" s="178"/>
      <c r="AI148" s="182"/>
      <c r="AJ148" s="181">
        <f t="shared" si="204"/>
        <v>1703.9340157674305</v>
      </c>
      <c r="AK148" s="54"/>
      <c r="AL148" s="180"/>
      <c r="AM148" s="181">
        <f t="shared" si="205"/>
        <v>1771.4308731904239</v>
      </c>
      <c r="AN148" s="54"/>
      <c r="AO148" s="182"/>
      <c r="AP148" s="181">
        <f t="shared" si="206"/>
        <v>0</v>
      </c>
      <c r="AQ148" s="54"/>
      <c r="AR148" s="180"/>
      <c r="AS148" s="181">
        <f t="shared" si="207"/>
        <v>-2424.8963367975521</v>
      </c>
      <c r="AT148" s="178"/>
      <c r="AU148" s="182"/>
      <c r="AV148" s="181">
        <v>62008.959283384953</v>
      </c>
      <c r="AW148" s="54"/>
      <c r="AX148" s="180"/>
      <c r="AY148" s="181">
        <v>63476.59383975363</v>
      </c>
      <c r="AZ148" s="178"/>
      <c r="BA148" s="182"/>
      <c r="BB148" s="181">
        <v>63712.893299152383</v>
      </c>
      <c r="BC148" s="54"/>
      <c r="BD148" s="180"/>
      <c r="BE148" s="181">
        <v>67672.921049741606</v>
      </c>
      <c r="BF148" s="178"/>
      <c r="BG148" s="178"/>
      <c r="BH148" s="178"/>
      <c r="BI148" s="178"/>
      <c r="BJ148" s="178"/>
    </row>
    <row r="149" spans="2:62" hidden="1" outlineLevel="1" x14ac:dyDescent="0.4">
      <c r="C149" s="56" t="s">
        <v>24</v>
      </c>
      <c r="D149" s="57"/>
      <c r="E149" s="58"/>
      <c r="F149" s="112"/>
      <c r="G149" s="54"/>
      <c r="H149" s="167"/>
      <c r="I149" s="112"/>
      <c r="J149" s="54"/>
      <c r="K149" s="167"/>
      <c r="L149" s="112"/>
      <c r="M149" s="54"/>
      <c r="N149" s="167"/>
      <c r="O149" s="112"/>
      <c r="P149" s="54"/>
      <c r="Q149" s="167"/>
      <c r="R149" s="112"/>
      <c r="S149" s="54"/>
      <c r="T149" s="180"/>
      <c r="U149" s="181">
        <f>(Q116*U26*12)+(R116*U48)</f>
        <v>1831.4831544665233</v>
      </c>
      <c r="V149" s="54"/>
      <c r="W149" s="180"/>
      <c r="X149" s="181">
        <f>(T116*X26*12)+(U116*X48)</f>
        <v>1997.8103980030023</v>
      </c>
      <c r="Y149" s="54"/>
      <c r="Z149" s="180"/>
      <c r="AA149" s="181">
        <f>(W116*AA26*12)+(X116*AA48)</f>
        <v>2065.7234260912542</v>
      </c>
      <c r="AB149" s="54"/>
      <c r="AC149" s="180"/>
      <c r="AD149" s="181">
        <f>(Z116*AD26*12)+(AA116*AD48)</f>
        <v>2034.4210036351101</v>
      </c>
      <c r="AE149" s="54"/>
      <c r="AF149" s="180"/>
      <c r="AG149" s="181">
        <f>(AC116*AG26*12)+(AD116*AG48)</f>
        <v>2025.9696278808901</v>
      </c>
      <c r="AH149" s="178"/>
      <c r="AI149" s="182"/>
      <c r="AJ149" s="181">
        <f t="shared" si="204"/>
        <v>-170.48636987825967</v>
      </c>
      <c r="AK149" s="54"/>
      <c r="AL149" s="180"/>
      <c r="AM149" s="181">
        <f t="shared" si="205"/>
        <v>-189.0700672739863</v>
      </c>
      <c r="AN149" s="54"/>
      <c r="AO149" s="182"/>
      <c r="AP149" s="181">
        <f t="shared" si="206"/>
        <v>0</v>
      </c>
      <c r="AQ149" s="54"/>
      <c r="AR149" s="180"/>
      <c r="AS149" s="181">
        <f t="shared" si="207"/>
        <v>-47.197865425116561</v>
      </c>
      <c r="AT149" s="178"/>
      <c r="AU149" s="182"/>
      <c r="AV149" s="181">
        <v>2204.9073735133697</v>
      </c>
      <c r="AW149" s="54"/>
      <c r="AX149" s="180"/>
      <c r="AY149" s="181">
        <v>2215.0396951548764</v>
      </c>
      <c r="AZ149" s="178"/>
      <c r="BA149" s="182"/>
      <c r="BB149" s="181">
        <v>2034.4210036351101</v>
      </c>
      <c r="BC149" s="54"/>
      <c r="BD149" s="180"/>
      <c r="BE149" s="181">
        <v>2073.1674933060067</v>
      </c>
      <c r="BF149" s="178"/>
      <c r="BG149" s="178"/>
      <c r="BH149" s="178"/>
      <c r="BI149" s="178"/>
      <c r="BJ149" s="178"/>
    </row>
    <row r="150" spans="2:62" hidden="1" outlineLevel="1" x14ac:dyDescent="0.4">
      <c r="C150" s="64" t="s">
        <v>25</v>
      </c>
      <c r="D150" s="65"/>
      <c r="E150" s="58"/>
      <c r="F150" s="112"/>
      <c r="G150" s="54"/>
      <c r="H150" s="167"/>
      <c r="I150" s="112"/>
      <c r="J150" s="54"/>
      <c r="K150" s="167"/>
      <c r="L150" s="112"/>
      <c r="M150" s="54"/>
      <c r="N150" s="167"/>
      <c r="O150" s="112"/>
      <c r="P150" s="54"/>
      <c r="Q150" s="167"/>
      <c r="R150" s="112"/>
      <c r="S150" s="54"/>
      <c r="T150" s="186">
        <f>SUM(T142:T149)</f>
        <v>-234027.66424266351</v>
      </c>
      <c r="U150" s="187">
        <f>SUM(U142:U149)</f>
        <v>18786649.291021951</v>
      </c>
      <c r="V150" s="54"/>
      <c r="W150" s="186">
        <f>SUM(W142:W149)</f>
        <v>-234342.54247241493</v>
      </c>
      <c r="X150" s="187">
        <f>SUM(X142:X149)</f>
        <v>21192540.941527013</v>
      </c>
      <c r="Y150" s="54"/>
      <c r="Z150" s="186">
        <f>SUM(Z142:Z149)</f>
        <v>-234091.70991672005</v>
      </c>
      <c r="AA150" s="187">
        <f>SUM(AA142:AA149)</f>
        <v>22824458.325487971</v>
      </c>
      <c r="AB150" s="54"/>
      <c r="AC150" s="186">
        <f>SUM(AC142:AC149)</f>
        <v>-233443.05348309007</v>
      </c>
      <c r="AD150" s="187">
        <f>SUM(AD142:AD149)</f>
        <v>23551368.783760905</v>
      </c>
      <c r="AE150" s="54"/>
      <c r="AF150" s="186">
        <f>SUM(AF142:AF149)</f>
        <v>-232717.44498454352</v>
      </c>
      <c r="AG150" s="187">
        <f>SUM(AG142:AG149)</f>
        <v>24647707.486860037</v>
      </c>
      <c r="AH150" s="178"/>
      <c r="AI150" s="188">
        <f>SUM(AI142:AI149)</f>
        <v>-19896.287171608819</v>
      </c>
      <c r="AJ150" s="187">
        <f t="shared" si="204"/>
        <v>433342.56858801469</v>
      </c>
      <c r="AK150" s="54"/>
      <c r="AL150" s="186">
        <f>SUM(AL142:AL149)</f>
        <v>-19599.613098664566</v>
      </c>
      <c r="AM150" s="187">
        <f t="shared" si="205"/>
        <v>442993.3463219218</v>
      </c>
      <c r="AN150" s="54"/>
      <c r="AO150" s="188">
        <f>SUM(AO142:AO149)</f>
        <v>10034.785143055939</v>
      </c>
      <c r="AP150" s="187">
        <f t="shared" si="206"/>
        <v>-295764.98277471587</v>
      </c>
      <c r="AQ150" s="54"/>
      <c r="AR150" s="186">
        <f>SUM(AR142:AR149)</f>
        <v>10862.786557583779</v>
      </c>
      <c r="AS150" s="187">
        <f t="shared" si="207"/>
        <v>-1159578.6161677241</v>
      </c>
      <c r="AT150" s="178"/>
      <c r="AU150" s="188">
        <v>-213546.76631148125</v>
      </c>
      <c r="AV150" s="187">
        <v>23118026.215172891</v>
      </c>
      <c r="AW150" s="54"/>
      <c r="AX150" s="186">
        <v>-213117.83188587896</v>
      </c>
      <c r="AY150" s="187">
        <v>24204714.140538115</v>
      </c>
      <c r="AZ150" s="178"/>
      <c r="BA150" s="188">
        <v>-243477.83862614603</v>
      </c>
      <c r="BB150" s="187">
        <v>23847133.766535621</v>
      </c>
      <c r="BC150" s="54"/>
      <c r="BD150" s="186">
        <v>-243580.23154212729</v>
      </c>
      <c r="BE150" s="187">
        <v>25807286.103027761</v>
      </c>
      <c r="BF150" s="178"/>
      <c r="BG150" s="178"/>
      <c r="BH150" s="178"/>
      <c r="BI150" s="178"/>
      <c r="BJ150" s="178"/>
    </row>
    <row r="151" spans="2:62" ht="3.95" hidden="1" customHeight="1" outlineLevel="1" x14ac:dyDescent="0.4">
      <c r="C151" s="64"/>
      <c r="D151" s="65"/>
      <c r="E151" s="58"/>
      <c r="F151" s="112"/>
      <c r="G151" s="54"/>
      <c r="H151" s="167"/>
      <c r="I151" s="112"/>
      <c r="J151" s="54"/>
      <c r="K151" s="167"/>
      <c r="L151" s="112"/>
      <c r="M151" s="54"/>
      <c r="N151" s="167"/>
      <c r="O151" s="112"/>
      <c r="P151" s="54"/>
      <c r="Q151" s="167"/>
      <c r="R151" s="112"/>
      <c r="S151" s="54"/>
      <c r="T151" s="143"/>
      <c r="U151" s="189"/>
      <c r="V151" s="54"/>
      <c r="W151" s="143"/>
      <c r="X151" s="189"/>
      <c r="Y151" s="54"/>
      <c r="Z151" s="143"/>
      <c r="AA151" s="189"/>
      <c r="AB151" s="54"/>
      <c r="AC151" s="143"/>
      <c r="AD151" s="189"/>
      <c r="AE151" s="54"/>
      <c r="AF151" s="143"/>
      <c r="AG151" s="189"/>
      <c r="AH151" s="178"/>
      <c r="AI151" s="144"/>
      <c r="AJ151" s="189"/>
      <c r="AK151" s="54"/>
      <c r="AL151" s="143"/>
      <c r="AM151" s="189"/>
      <c r="AN151" s="54"/>
      <c r="AO151" s="144"/>
      <c r="AP151" s="189"/>
      <c r="AQ151" s="54"/>
      <c r="AR151" s="143"/>
      <c r="AS151" s="189"/>
      <c r="AT151" s="178"/>
      <c r="AU151" s="144"/>
      <c r="AV151" s="189"/>
      <c r="AW151" s="54"/>
      <c r="AX151" s="143"/>
      <c r="AY151" s="189"/>
      <c r="AZ151" s="178"/>
      <c r="BA151" s="144"/>
      <c r="BB151" s="189"/>
      <c r="BC151" s="54"/>
      <c r="BD151" s="143"/>
      <c r="BE151" s="189"/>
      <c r="BF151" s="178"/>
      <c r="BG151" s="178"/>
      <c r="BH151" s="178"/>
      <c r="BI151" s="178"/>
      <c r="BJ151" s="178"/>
    </row>
    <row r="152" spans="2:62" hidden="1" outlineLevel="1" x14ac:dyDescent="0.4">
      <c r="C152" s="39" t="s">
        <v>64</v>
      </c>
      <c r="D152" s="171"/>
      <c r="E152" s="58"/>
      <c r="F152" s="112"/>
      <c r="G152" s="54"/>
      <c r="H152" s="167"/>
      <c r="I152" s="112"/>
      <c r="J152" s="54"/>
      <c r="K152" s="167"/>
      <c r="L152" s="112"/>
      <c r="M152" s="54"/>
      <c r="N152" s="167"/>
      <c r="O152" s="112"/>
      <c r="P152" s="54"/>
      <c r="Q152" s="167"/>
      <c r="R152" s="112"/>
      <c r="S152" s="54"/>
      <c r="T152" s="190">
        <f>U150-U137</f>
        <v>-2440893.8702128641</v>
      </c>
      <c r="U152" s="191">
        <f>SUM(T150:U150)</f>
        <v>18552621.626779288</v>
      </c>
      <c r="V152" s="54"/>
      <c r="W152" s="190">
        <f>X150-X137</f>
        <v>-1499509.5854871459</v>
      </c>
      <c r="X152" s="191">
        <f>SUM(W150:X150)</f>
        <v>20958198.399054598</v>
      </c>
      <c r="Y152" s="54"/>
      <c r="Z152" s="190">
        <f>AA150-AA137</f>
        <v>-477683.80639764667</v>
      </c>
      <c r="AA152" s="191">
        <f>SUM(Z150:AA150)</f>
        <v>22590366.615571253</v>
      </c>
      <c r="AB152" s="54"/>
      <c r="AC152" s="190">
        <f>AD150-AD137</f>
        <v>-795832.24054668471</v>
      </c>
      <c r="AD152" s="191">
        <f>SUM(AC150:AD150)</f>
        <v>23317925.730277814</v>
      </c>
      <c r="AE152" s="54"/>
      <c r="AF152" s="190">
        <f>AG150-AG137</f>
        <v>-972476.70141569525</v>
      </c>
      <c r="AG152" s="191">
        <f>SUM(AF150:AG150)</f>
        <v>24414990.041875493</v>
      </c>
      <c r="AH152" s="178"/>
      <c r="AI152" s="192">
        <f>AJ150-AJ137</f>
        <v>47436.761962112039</v>
      </c>
      <c r="AJ152" s="191">
        <f>SUM(AI150:AJ150)</f>
        <v>413446.28141640587</v>
      </c>
      <c r="AK152" s="54"/>
      <c r="AL152" s="190">
        <f>AM150-AM137</f>
        <v>-928.20868859812617</v>
      </c>
      <c r="AM152" s="191">
        <f>SUM(AL150:AM150)</f>
        <v>423393.73322325724</v>
      </c>
      <c r="AN152" s="54"/>
      <c r="AO152" s="192">
        <f>AP150-AP137</f>
        <v>590319.60003393516</v>
      </c>
      <c r="AP152" s="191">
        <f>SUM(AO150:AP150)</f>
        <v>-285730.19763165992</v>
      </c>
      <c r="AQ152" s="54"/>
      <c r="AR152" s="190">
        <f>AS150-AS137</f>
        <v>-114867.39643443748</v>
      </c>
      <c r="AS152" s="191">
        <f>SUM(AR150:AS150)</f>
        <v>-1148715.8296101403</v>
      </c>
      <c r="AT152" s="178"/>
      <c r="AU152" s="192">
        <v>-843269.00250879675</v>
      </c>
      <c r="AV152" s="191">
        <v>22904479.448861409</v>
      </c>
      <c r="AW152" s="54"/>
      <c r="AX152" s="190">
        <v>-971548.49272709712</v>
      </c>
      <c r="AY152" s="191">
        <v>23991596.308652237</v>
      </c>
      <c r="AZ152" s="178"/>
      <c r="BA152" s="192">
        <v>-1386151.8405806199</v>
      </c>
      <c r="BB152" s="191">
        <v>23603655.927909475</v>
      </c>
      <c r="BC152" s="54"/>
      <c r="BD152" s="190">
        <v>-857609.30498125777</v>
      </c>
      <c r="BE152" s="191">
        <v>25563705.871485632</v>
      </c>
      <c r="BF152" s="178"/>
      <c r="BG152" s="178"/>
      <c r="BH152" s="178"/>
      <c r="BI152" s="178"/>
      <c r="BJ152" s="178"/>
    </row>
    <row r="153" spans="2:62" hidden="1" outlineLevel="1" x14ac:dyDescent="0.4">
      <c r="F153" s="104"/>
      <c r="I153" s="104"/>
      <c r="L153" s="104"/>
      <c r="O153" s="104"/>
      <c r="R153" s="104"/>
      <c r="T153" s="193"/>
      <c r="U153" s="104"/>
      <c r="X153" s="104"/>
      <c r="AA153" s="104"/>
      <c r="AD153" s="104"/>
      <c r="AG153" s="104"/>
      <c r="AH153" s="178"/>
      <c r="AI153" s="69"/>
      <c r="AJ153" s="149" t="s">
        <v>53</v>
      </c>
      <c r="AK153" s="54"/>
      <c r="AL153" s="20"/>
      <c r="AM153" s="149" t="s">
        <v>53</v>
      </c>
      <c r="AO153" s="22"/>
      <c r="AP153" s="104"/>
      <c r="AS153" s="104"/>
      <c r="AT153" s="178"/>
      <c r="AU153" s="22"/>
      <c r="AV153" s="104"/>
      <c r="AY153" s="104"/>
      <c r="AZ153" s="178"/>
      <c r="BA153" s="22"/>
      <c r="BB153" s="104"/>
      <c r="BE153" s="104"/>
      <c r="BF153" s="178"/>
      <c r="BG153" s="178"/>
      <c r="BH153" s="178"/>
      <c r="BI153" s="178"/>
      <c r="BJ153" s="178"/>
    </row>
    <row r="154" spans="2:62" hidden="1" outlineLevel="1" x14ac:dyDescent="0.4">
      <c r="B154" s="103" t="s">
        <v>65</v>
      </c>
      <c r="D154" s="194"/>
      <c r="E154" s="150" t="s">
        <v>66</v>
      </c>
      <c r="F154" s="151" t="s">
        <v>67</v>
      </c>
      <c r="H154" s="150" t="s">
        <v>66</v>
      </c>
      <c r="I154" s="151" t="s">
        <v>67</v>
      </c>
      <c r="K154" s="150" t="s">
        <v>66</v>
      </c>
      <c r="L154" s="151" t="s">
        <v>67</v>
      </c>
      <c r="N154" s="150" t="s">
        <v>66</v>
      </c>
      <c r="O154" s="151" t="s">
        <v>67</v>
      </c>
      <c r="Q154" s="150" t="s">
        <v>66</v>
      </c>
      <c r="R154" s="151" t="s">
        <v>67</v>
      </c>
      <c r="T154" s="150" t="s">
        <v>66</v>
      </c>
      <c r="U154" s="151" t="s">
        <v>67</v>
      </c>
      <c r="W154" s="150" t="s">
        <v>66</v>
      </c>
      <c r="X154" s="151" t="s">
        <v>67</v>
      </c>
      <c r="Z154" s="150" t="s">
        <v>66</v>
      </c>
      <c r="AA154" s="151" t="s">
        <v>67</v>
      </c>
      <c r="AC154" s="150" t="s">
        <v>66</v>
      </c>
      <c r="AD154" s="151" t="s">
        <v>67</v>
      </c>
      <c r="AF154" s="150" t="s">
        <v>66</v>
      </c>
      <c r="AG154" s="151" t="s">
        <v>67</v>
      </c>
      <c r="AH154" s="178"/>
      <c r="AI154" s="152" t="s">
        <v>66</v>
      </c>
      <c r="AJ154" s="151" t="s">
        <v>67</v>
      </c>
      <c r="AL154" s="150" t="s">
        <v>66</v>
      </c>
      <c r="AM154" s="151" t="s">
        <v>67</v>
      </c>
      <c r="AO154" s="152" t="s">
        <v>66</v>
      </c>
      <c r="AP154" s="151" t="s">
        <v>67</v>
      </c>
      <c r="AR154" s="150" t="s">
        <v>66</v>
      </c>
      <c r="AS154" s="151" t="s">
        <v>67</v>
      </c>
      <c r="AT154" s="178"/>
      <c r="AU154" s="152" t="s">
        <v>66</v>
      </c>
      <c r="AV154" s="151" t="s">
        <v>67</v>
      </c>
      <c r="AX154" s="150" t="s">
        <v>66</v>
      </c>
      <c r="AY154" s="151" t="s">
        <v>67</v>
      </c>
      <c r="AZ154" s="178"/>
      <c r="BA154" s="152" t="s">
        <v>66</v>
      </c>
      <c r="BB154" s="151" t="s">
        <v>67</v>
      </c>
      <c r="BD154" s="150" t="s">
        <v>66</v>
      </c>
      <c r="BE154" s="151" t="s">
        <v>67</v>
      </c>
      <c r="BF154" s="178"/>
      <c r="BG154" s="178"/>
      <c r="BH154" s="178"/>
      <c r="BI154" s="178"/>
      <c r="BJ154" s="178"/>
    </row>
    <row r="155" spans="2:62" hidden="1" outlineLevel="1" x14ac:dyDescent="0.4">
      <c r="C155" s="56" t="s">
        <v>17</v>
      </c>
      <c r="D155" s="57" t="s">
        <v>8</v>
      </c>
      <c r="E155" s="136">
        <v>833</v>
      </c>
      <c r="F155" s="195">
        <f>E155*F109+E109</f>
        <v>18.005098558761922</v>
      </c>
      <c r="G155" s="54"/>
      <c r="H155" s="136">
        <v>833</v>
      </c>
      <c r="I155" s="195">
        <f>H155*I109+H109</f>
        <v>18.005098558761922</v>
      </c>
      <c r="J155" s="54"/>
      <c r="K155" s="136">
        <v>833</v>
      </c>
      <c r="L155" s="195">
        <f>K155*L109+K109</f>
        <v>18.1694</v>
      </c>
      <c r="M155" s="54"/>
      <c r="N155" s="136">
        <v>833</v>
      </c>
      <c r="O155" s="195">
        <f>N155*O109+N109</f>
        <v>18.466000000000001</v>
      </c>
      <c r="P155" s="54"/>
      <c r="Q155" s="136">
        <v>833</v>
      </c>
      <c r="R155" s="195">
        <f>Q155*R109+Q109</f>
        <v>18.466000000000001</v>
      </c>
      <c r="S155" s="54"/>
      <c r="T155" s="136">
        <v>833</v>
      </c>
      <c r="U155" s="195">
        <f>T155*U109+T109</f>
        <v>21.4956</v>
      </c>
      <c r="V155" s="54"/>
      <c r="W155" s="136">
        <v>833</v>
      </c>
      <c r="X155" s="195">
        <f>W155*X109+W109</f>
        <v>23.038600000000002</v>
      </c>
      <c r="Y155" s="54"/>
      <c r="Z155" s="136">
        <v>833</v>
      </c>
      <c r="AA155" s="195">
        <f>Z155*AA109+Z109</f>
        <v>23.299700000000001</v>
      </c>
      <c r="AB155" s="54"/>
      <c r="AC155" s="136">
        <v>833</v>
      </c>
      <c r="AD155" s="195">
        <f>AC155*AD109+AC109</f>
        <v>23.860800000000001</v>
      </c>
      <c r="AE155" s="54"/>
      <c r="AF155" s="136">
        <v>833</v>
      </c>
      <c r="AG155" s="196">
        <f>AF155*AG109+AF109</f>
        <v>24.522000000000002</v>
      </c>
      <c r="AH155" s="178"/>
      <c r="AI155" s="139">
        <f t="shared" ref="AI155:AJ162" si="210">AC155-AU155</f>
        <v>0</v>
      </c>
      <c r="AJ155" s="195">
        <f t="shared" si="210"/>
        <v>1.3400000000000745E-2</v>
      </c>
      <c r="AK155" s="54"/>
      <c r="AL155" s="136">
        <f t="shared" ref="AL155:AM162" si="211">AF155-AX155</f>
        <v>0</v>
      </c>
      <c r="AM155" s="195">
        <f t="shared" si="211"/>
        <v>0.13670000000000115</v>
      </c>
      <c r="AN155" s="54"/>
      <c r="AO155" s="139">
        <f t="shared" ref="AO155:AP162" si="212">AC155-BA155</f>
        <v>0</v>
      </c>
      <c r="AP155" s="195">
        <f t="shared" si="212"/>
        <v>-0.56659999999999755</v>
      </c>
      <c r="AQ155" s="54"/>
      <c r="AR155" s="136">
        <f t="shared" ref="AR155:AS162" si="213">AF155-BD155</f>
        <v>0</v>
      </c>
      <c r="AS155" s="195">
        <f t="shared" si="213"/>
        <v>-0.44329999999999714</v>
      </c>
      <c r="AT155" s="178"/>
      <c r="AU155" s="139">
        <v>833</v>
      </c>
      <c r="AV155" s="195">
        <v>23.8474</v>
      </c>
      <c r="AW155" s="54"/>
      <c r="AX155" s="136">
        <v>833</v>
      </c>
      <c r="AY155" s="196">
        <v>24.385300000000001</v>
      </c>
      <c r="AZ155" s="178"/>
      <c r="BA155" s="139">
        <v>833</v>
      </c>
      <c r="BB155" s="195">
        <v>24.427399999999999</v>
      </c>
      <c r="BC155" s="54"/>
      <c r="BD155" s="136">
        <v>833</v>
      </c>
      <c r="BE155" s="195">
        <v>24.965299999999999</v>
      </c>
      <c r="BF155" s="178"/>
      <c r="BG155" s="178"/>
      <c r="BH155" s="178"/>
      <c r="BI155" s="178"/>
      <c r="BJ155" s="178"/>
    </row>
    <row r="156" spans="2:62" hidden="1" outlineLevel="1" x14ac:dyDescent="0.4">
      <c r="C156" s="56" t="s">
        <v>18</v>
      </c>
      <c r="D156" s="57" t="s">
        <v>8</v>
      </c>
      <c r="E156" s="136">
        <v>2800</v>
      </c>
      <c r="F156" s="195">
        <f>E156*F110+E110</f>
        <v>54.446785674002939</v>
      </c>
      <c r="G156" s="54"/>
      <c r="H156" s="136">
        <v>2800</v>
      </c>
      <c r="I156" s="195">
        <f>H156*I110+H110</f>
        <v>54.446785674002939</v>
      </c>
      <c r="J156" s="54"/>
      <c r="K156" s="136">
        <v>2800</v>
      </c>
      <c r="L156" s="195">
        <f>K156*L110+K110</f>
        <v>55.01</v>
      </c>
      <c r="M156" s="54"/>
      <c r="N156" s="136">
        <v>2800</v>
      </c>
      <c r="O156" s="195">
        <f>N156*O110+N110</f>
        <v>55.980000000000004</v>
      </c>
      <c r="P156" s="54"/>
      <c r="Q156" s="136">
        <v>2800</v>
      </c>
      <c r="R156" s="195">
        <f>Q156*R110+Q110</f>
        <v>55.980000000000004</v>
      </c>
      <c r="S156" s="54"/>
      <c r="T156" s="136">
        <v>2800</v>
      </c>
      <c r="U156" s="195">
        <f>T156*U110+T110</f>
        <v>56.37</v>
      </c>
      <c r="V156" s="54"/>
      <c r="W156" s="136">
        <v>2800</v>
      </c>
      <c r="X156" s="195">
        <f>W156*X110+W110</f>
        <v>59.97999999999999</v>
      </c>
      <c r="Y156" s="54"/>
      <c r="Z156" s="136">
        <v>2800</v>
      </c>
      <c r="AA156" s="195">
        <f>Z156*AA110+Z110</f>
        <v>61.319999999999993</v>
      </c>
      <c r="AB156" s="54"/>
      <c r="AC156" s="136">
        <v>2800</v>
      </c>
      <c r="AD156" s="195">
        <f>AC156*AD110+AC110</f>
        <v>63.37</v>
      </c>
      <c r="AE156" s="54"/>
      <c r="AF156" s="136">
        <v>2800</v>
      </c>
      <c r="AG156" s="195">
        <f>AF156*AG110+AF110</f>
        <v>65.789999999999992</v>
      </c>
      <c r="AH156" s="178"/>
      <c r="AI156" s="139">
        <f t="shared" si="210"/>
        <v>0</v>
      </c>
      <c r="AJ156" s="195">
        <f t="shared" si="210"/>
        <v>-0.30000000000000426</v>
      </c>
      <c r="AK156" s="54"/>
      <c r="AL156" s="136">
        <f t="shared" si="211"/>
        <v>0</v>
      </c>
      <c r="AM156" s="195">
        <f t="shared" si="211"/>
        <v>-0.52000000000001023</v>
      </c>
      <c r="AN156" s="54"/>
      <c r="AO156" s="139">
        <f t="shared" si="212"/>
        <v>0</v>
      </c>
      <c r="AP156" s="195">
        <f t="shared" si="212"/>
        <v>-1.509999999999998</v>
      </c>
      <c r="AQ156" s="54"/>
      <c r="AR156" s="136">
        <f t="shared" si="213"/>
        <v>0</v>
      </c>
      <c r="AS156" s="195">
        <f t="shared" si="213"/>
        <v>-1.1400000000000148</v>
      </c>
      <c r="AT156" s="178"/>
      <c r="AU156" s="139">
        <v>2800</v>
      </c>
      <c r="AV156" s="195">
        <v>63.67</v>
      </c>
      <c r="AW156" s="54"/>
      <c r="AX156" s="136">
        <v>2800</v>
      </c>
      <c r="AY156" s="195">
        <v>66.31</v>
      </c>
      <c r="AZ156" s="178"/>
      <c r="BA156" s="139">
        <v>2800</v>
      </c>
      <c r="BB156" s="195">
        <v>64.88</v>
      </c>
      <c r="BC156" s="54"/>
      <c r="BD156" s="136">
        <v>2800</v>
      </c>
      <c r="BE156" s="195">
        <v>66.930000000000007</v>
      </c>
      <c r="BF156" s="178"/>
      <c r="BG156" s="178"/>
      <c r="BH156" s="178"/>
      <c r="BI156" s="178"/>
      <c r="BJ156" s="178"/>
    </row>
    <row r="157" spans="2:62" hidden="1" outlineLevel="1" x14ac:dyDescent="0.4">
      <c r="C157" s="56" t="s">
        <v>19</v>
      </c>
      <c r="D157" s="57" t="s">
        <v>27</v>
      </c>
      <c r="E157" s="136">
        <f>F43/12/F21</f>
        <v>147.58049164917483</v>
      </c>
      <c r="F157" s="195">
        <f>E157*F111+E111</f>
        <v>575.38435171455558</v>
      </c>
      <c r="G157" s="54"/>
      <c r="H157" s="136">
        <f>I43/12/I21</f>
        <v>140.23508946322067</v>
      </c>
      <c r="I157" s="195">
        <f>H157*I111+H111</f>
        <v>548.83764739602441</v>
      </c>
      <c r="J157" s="54"/>
      <c r="K157" s="136">
        <f>L43/12/L21</f>
        <v>140.80828323313293</v>
      </c>
      <c r="L157" s="195">
        <f>K157*L111+K111</f>
        <v>556.85673947895793</v>
      </c>
      <c r="M157" s="54"/>
      <c r="N157" s="136">
        <f>O43/12/O21</f>
        <v>147.52795972790648</v>
      </c>
      <c r="O157" s="195">
        <f>N157*O111+N111</f>
        <v>590.41447220261466</v>
      </c>
      <c r="P157" s="54"/>
      <c r="Q157" s="136">
        <f>R43/12/R21</f>
        <v>137.80467196819086</v>
      </c>
      <c r="R157" s="195">
        <f>Q157*R111+Q111</f>
        <v>554.34399160039766</v>
      </c>
      <c r="S157" s="54"/>
      <c r="T157" s="136">
        <f>U43/12/U21</f>
        <v>140.03189528674937</v>
      </c>
      <c r="U157" s="195">
        <f>T157*U111+T111</f>
        <v>634.63944669023078</v>
      </c>
      <c r="V157" s="54"/>
      <c r="W157" s="136">
        <f>X43/12/X21</f>
        <v>139.33127311383828</v>
      </c>
      <c r="X157" s="195">
        <f>W157*X111+W111</f>
        <v>675.56811591131259</v>
      </c>
      <c r="Y157" s="54"/>
      <c r="Z157" s="136">
        <f>AA43/12/AA21</f>
        <v>138.09821620175683</v>
      </c>
      <c r="AA157" s="195">
        <f>Z157*AA111+Z111</f>
        <v>684.31455964744714</v>
      </c>
      <c r="AB157" s="54"/>
      <c r="AC157" s="136">
        <f>AD43/12/AD21</f>
        <v>136.52158222289523</v>
      </c>
      <c r="AD157" s="195">
        <f>AC157*AD111+AC111</f>
        <v>699.95143283873415</v>
      </c>
      <c r="AE157" s="54"/>
      <c r="AF157" s="136">
        <f>AG43/12/AG21</f>
        <v>135.09185780100773</v>
      </c>
      <c r="AG157" s="195">
        <f>AF157*AG111+AF111</f>
        <v>720.5359299451469</v>
      </c>
      <c r="AH157" s="178"/>
      <c r="AI157" s="139">
        <f t="shared" si="210"/>
        <v>4.331074748663525</v>
      </c>
      <c r="AJ157" s="195">
        <f t="shared" si="210"/>
        <v>19.013760963195523</v>
      </c>
      <c r="AK157" s="54"/>
      <c r="AL157" s="136">
        <f t="shared" si="211"/>
        <v>5.0840369774118415</v>
      </c>
      <c r="AM157" s="195">
        <f t="shared" si="211"/>
        <v>22.889423338090182</v>
      </c>
      <c r="AN157" s="54"/>
      <c r="AO157" s="139">
        <f t="shared" si="212"/>
        <v>-5.040135028409054E-2</v>
      </c>
      <c r="AP157" s="195">
        <f t="shared" si="212"/>
        <v>-16.13490501807928</v>
      </c>
      <c r="AQ157" s="54"/>
      <c r="AR157" s="136">
        <f t="shared" si="213"/>
        <v>-0.13251184347907952</v>
      </c>
      <c r="AS157" s="195">
        <f t="shared" si="213"/>
        <v>-12.07743416101539</v>
      </c>
      <c r="AT157" s="178"/>
      <c r="AU157" s="139">
        <v>132.19050747423171</v>
      </c>
      <c r="AV157" s="195">
        <v>680.93767187553863</v>
      </c>
      <c r="AW157" s="54"/>
      <c r="AX157" s="136">
        <v>130.00782082359589</v>
      </c>
      <c r="AY157" s="195">
        <v>697.64650660705672</v>
      </c>
      <c r="AZ157" s="178"/>
      <c r="BA157" s="139">
        <v>136.57198357317932</v>
      </c>
      <c r="BB157" s="195">
        <v>716.08633785681343</v>
      </c>
      <c r="BC157" s="54"/>
      <c r="BD157" s="136">
        <v>135.22436964448681</v>
      </c>
      <c r="BE157" s="195">
        <v>732.61336410616229</v>
      </c>
      <c r="BF157" s="178"/>
      <c r="BG157" s="178"/>
      <c r="BH157" s="178"/>
      <c r="BI157" s="178"/>
      <c r="BJ157" s="178"/>
    </row>
    <row r="158" spans="2:62" hidden="1" outlineLevel="1" x14ac:dyDescent="0.4">
      <c r="C158" s="56" t="s">
        <v>20</v>
      </c>
      <c r="D158" s="57" t="s">
        <v>27</v>
      </c>
      <c r="E158" s="136">
        <v>1626</v>
      </c>
      <c r="F158" s="195">
        <f>E158*F112+E112</f>
        <v>5296.3750794276229</v>
      </c>
      <c r="G158" s="54"/>
      <c r="H158" s="136">
        <v>1626</v>
      </c>
      <c r="I158" s="195">
        <f>H158*I112+H112</f>
        <v>5296.3750794276229</v>
      </c>
      <c r="J158" s="54"/>
      <c r="K158" s="136">
        <v>1626</v>
      </c>
      <c r="L158" s="195">
        <f>K158*L112+K112</f>
        <v>5353.6102000000001</v>
      </c>
      <c r="M158" s="54"/>
      <c r="N158" s="136">
        <v>1626</v>
      </c>
      <c r="O158" s="195">
        <f>N158*O112+N112</f>
        <v>5436.6497999999992</v>
      </c>
      <c r="P158" s="54"/>
      <c r="Q158" s="136">
        <v>1626</v>
      </c>
      <c r="R158" s="195">
        <f>Q158*R112+Q112</f>
        <v>5436.6497999999992</v>
      </c>
      <c r="S158" s="54"/>
      <c r="T158" s="136">
        <v>1626</v>
      </c>
      <c r="U158" s="195">
        <f>T158*U112+T112</f>
        <v>4707.3573999999999</v>
      </c>
      <c r="V158" s="54"/>
      <c r="W158" s="136">
        <v>1626</v>
      </c>
      <c r="X158" s="195">
        <f>W158*X112+W112</f>
        <v>4975.3452000000007</v>
      </c>
      <c r="Y158" s="54"/>
      <c r="Z158" s="136">
        <v>1626</v>
      </c>
      <c r="AA158" s="195">
        <f>Z158*AA112+Z112</f>
        <v>5063.1395999999995</v>
      </c>
      <c r="AB158" s="54"/>
      <c r="AC158" s="136">
        <v>1626</v>
      </c>
      <c r="AD158" s="195">
        <f>AC158*AD112+AC112</f>
        <v>5205.4610000000002</v>
      </c>
      <c r="AE158" s="54"/>
      <c r="AF158" s="136">
        <v>1626</v>
      </c>
      <c r="AG158" s="195">
        <f>AF158*AG112+AF112</f>
        <v>5377.3981999999996</v>
      </c>
      <c r="AH158" s="178"/>
      <c r="AI158" s="139">
        <f t="shared" si="210"/>
        <v>0</v>
      </c>
      <c r="AJ158" s="195">
        <f t="shared" si="210"/>
        <v>-9.1565999999993437</v>
      </c>
      <c r="AK158" s="54"/>
      <c r="AL158" s="136">
        <f t="shared" si="211"/>
        <v>0</v>
      </c>
      <c r="AM158" s="195">
        <f t="shared" si="211"/>
        <v>-13.406000000000859</v>
      </c>
      <c r="AN158" s="54"/>
      <c r="AO158" s="139">
        <f t="shared" si="212"/>
        <v>0</v>
      </c>
      <c r="AP158" s="195">
        <f t="shared" si="212"/>
        <v>-98.894400000000132</v>
      </c>
      <c r="AQ158" s="54"/>
      <c r="AR158" s="136">
        <f t="shared" si="213"/>
        <v>0</v>
      </c>
      <c r="AS158" s="195">
        <f t="shared" si="213"/>
        <v>-71.727200000001176</v>
      </c>
      <c r="AT158" s="178"/>
      <c r="AU158" s="139">
        <v>1626</v>
      </c>
      <c r="AV158" s="195">
        <v>5214.6175999999996</v>
      </c>
      <c r="AW158" s="54"/>
      <c r="AX158" s="136">
        <v>1626</v>
      </c>
      <c r="AY158" s="195">
        <v>5390.8042000000005</v>
      </c>
      <c r="AZ158" s="178"/>
      <c r="BA158" s="139">
        <v>1626</v>
      </c>
      <c r="BB158" s="195">
        <v>5304.3554000000004</v>
      </c>
      <c r="BC158" s="54"/>
      <c r="BD158" s="136">
        <v>1626</v>
      </c>
      <c r="BE158" s="195">
        <v>5449.1254000000008</v>
      </c>
      <c r="BF158" s="178"/>
      <c r="BG158" s="178"/>
      <c r="BH158" s="178"/>
      <c r="BI158" s="178"/>
      <c r="BJ158" s="178"/>
    </row>
    <row r="159" spans="2:62" hidden="1" outlineLevel="1" x14ac:dyDescent="0.4">
      <c r="C159" s="56" t="s">
        <v>21</v>
      </c>
      <c r="D159" s="57" t="s">
        <v>27</v>
      </c>
      <c r="E159" s="136">
        <v>6975</v>
      </c>
      <c r="F159" s="195">
        <f>E159*F113+E113-3200</f>
        <v>18808.455529202049</v>
      </c>
      <c r="G159" s="54"/>
      <c r="H159" s="136">
        <f>I45/12</f>
        <v>7462.833333333333</v>
      </c>
      <c r="I159" s="195">
        <f>I58/12</f>
        <v>18891.175833333331</v>
      </c>
      <c r="J159" s="54"/>
      <c r="K159" s="136">
        <f>L45/12</f>
        <v>7729.416666666667</v>
      </c>
      <c r="L159" s="195">
        <f>L58/12</f>
        <v>19385.843333333334</v>
      </c>
      <c r="M159" s="54"/>
      <c r="N159" s="136">
        <f>O45/12</f>
        <v>8261.0009963226621</v>
      </c>
      <c r="O159" s="195">
        <f>O58/12</f>
        <v>19777.373282210221</v>
      </c>
      <c r="P159" s="54"/>
      <c r="Q159" s="136">
        <f>R45/12</f>
        <v>7766.916666666667</v>
      </c>
      <c r="R159" s="195">
        <f>R58/12</f>
        <v>19777.373282210221</v>
      </c>
      <c r="S159" s="54"/>
      <c r="T159" s="136">
        <f>U45/12</f>
        <v>8037.5233435931195</v>
      </c>
      <c r="U159" s="195">
        <f>U58/12</f>
        <v>18844.62827758188</v>
      </c>
      <c r="V159" s="54"/>
      <c r="W159" s="136">
        <f>X45/12</f>
        <v>8041.4856602916734</v>
      </c>
      <c r="X159" s="195">
        <f>X58/12</f>
        <v>20141.02961984451</v>
      </c>
      <c r="Y159" s="54"/>
      <c r="Z159" s="136">
        <f>AA45/12</f>
        <v>8058.8064558211017</v>
      </c>
      <c r="AA159" s="195">
        <f>AA58/12</f>
        <v>20602.637554997422</v>
      </c>
      <c r="AB159" s="54"/>
      <c r="AC159" s="136">
        <f>AD45/12</f>
        <v>8052.4921958626046</v>
      </c>
      <c r="AD159" s="195">
        <f>AD58/12</f>
        <v>21298.865188256164</v>
      </c>
      <c r="AE159" s="54"/>
      <c r="AF159" s="136">
        <f>AG45/12</f>
        <v>8017.2702365366831</v>
      </c>
      <c r="AG159" s="195">
        <f>AG58/12</f>
        <v>22095.219312356279</v>
      </c>
      <c r="AH159" s="178"/>
      <c r="AI159" s="139">
        <f t="shared" si="210"/>
        <v>511.79452021032739</v>
      </c>
      <c r="AJ159" s="195">
        <f t="shared" si="210"/>
        <v>748.99841498227033</v>
      </c>
      <c r="AK159" s="54"/>
      <c r="AL159" s="136">
        <f t="shared" si="211"/>
        <v>653.09501905427715</v>
      </c>
      <c r="AM159" s="195">
        <f t="shared" si="211"/>
        <v>989.0518360795686</v>
      </c>
      <c r="AN159" s="54"/>
      <c r="AO159" s="139">
        <f t="shared" si="212"/>
        <v>0</v>
      </c>
      <c r="AP159" s="195">
        <f t="shared" si="212"/>
        <v>-490.69602896537253</v>
      </c>
      <c r="AQ159" s="54"/>
      <c r="AR159" s="136">
        <f t="shared" si="213"/>
        <v>0</v>
      </c>
      <c r="AS159" s="195">
        <f t="shared" si="213"/>
        <v>-355.16407596241334</v>
      </c>
      <c r="AT159" s="178"/>
      <c r="AU159" s="139">
        <v>7540.6976756522772</v>
      </c>
      <c r="AV159" s="195">
        <v>20549.866773273894</v>
      </c>
      <c r="AW159" s="54"/>
      <c r="AX159" s="136">
        <v>7364.175217482406</v>
      </c>
      <c r="AY159" s="195">
        <v>21106.167476276711</v>
      </c>
      <c r="AZ159" s="178"/>
      <c r="BA159" s="139">
        <v>8052.4921958626046</v>
      </c>
      <c r="BB159" s="195">
        <v>21789.561217221537</v>
      </c>
      <c r="BC159" s="54"/>
      <c r="BD159" s="136">
        <v>8017.2702365366831</v>
      </c>
      <c r="BE159" s="195">
        <v>22450.383388318693</v>
      </c>
      <c r="BF159" s="178"/>
      <c r="BG159" s="178"/>
      <c r="BH159" s="178"/>
      <c r="BI159" s="178"/>
      <c r="BJ159" s="178"/>
    </row>
    <row r="160" spans="2:62" hidden="1" outlineLevel="1" x14ac:dyDescent="0.4">
      <c r="C160" s="56" t="s">
        <v>22</v>
      </c>
      <c r="D160" s="57" t="s">
        <v>27</v>
      </c>
      <c r="E160" s="197">
        <v>0.18794123127247131</v>
      </c>
      <c r="F160" s="195">
        <f>E160*F114+E114</f>
        <v>4.4547957830179259</v>
      </c>
      <c r="G160" s="54"/>
      <c r="H160" s="197">
        <v>0.18794123127247131</v>
      </c>
      <c r="I160" s="195">
        <f>H160*I114+H114</f>
        <v>4.4547957830179259</v>
      </c>
      <c r="J160" s="54"/>
      <c r="K160" s="197">
        <v>0.18794123127247131</v>
      </c>
      <c r="L160" s="195">
        <f>K160*L114+K114</f>
        <v>4.5005974770024917</v>
      </c>
      <c r="M160" s="54"/>
      <c r="N160" s="197">
        <v>0.18794123127247131</v>
      </c>
      <c r="O160" s="195">
        <f>N160*O114+N114</f>
        <v>4.5725256392030751</v>
      </c>
      <c r="P160" s="54"/>
      <c r="Q160" s="197">
        <v>0.18794123127247131</v>
      </c>
      <c r="R160" s="195">
        <f>Q160*R114+Q114</f>
        <v>4.5725256392030751</v>
      </c>
      <c r="S160" s="54"/>
      <c r="T160" s="197">
        <v>0.18794123127247131</v>
      </c>
      <c r="U160" s="195">
        <f>T160*U114+T114</f>
        <v>6.4409226911053299</v>
      </c>
      <c r="V160" s="54"/>
      <c r="W160" s="197">
        <v>0.18794123127247131</v>
      </c>
      <c r="X160" s="195">
        <f>W160*X114+W114</f>
        <v>7.1410312545287669</v>
      </c>
      <c r="Y160" s="54"/>
      <c r="Z160" s="197">
        <v>0.18794123127247131</v>
      </c>
      <c r="AA160" s="195">
        <f>Z160*AA114+Z114</f>
        <v>7.4955397434216424</v>
      </c>
      <c r="AB160" s="54"/>
      <c r="AC160" s="197">
        <v>0.18794123127247131</v>
      </c>
      <c r="AD160" s="195">
        <f>AC160*AD114+AC114</f>
        <v>7.7566571815026188</v>
      </c>
      <c r="AE160" s="54"/>
      <c r="AF160" s="197">
        <v>0.18794123127247131</v>
      </c>
      <c r="AG160" s="195">
        <f>AF160*AG114+AF114</f>
        <v>8.0675429841208501</v>
      </c>
      <c r="AH160" s="178"/>
      <c r="AI160" s="198">
        <f t="shared" si="210"/>
        <v>0</v>
      </c>
      <c r="AJ160" s="195">
        <f t="shared" si="210"/>
        <v>-1.2404121263983825E-2</v>
      </c>
      <c r="AK160" s="54"/>
      <c r="AL160" s="197">
        <f t="shared" si="211"/>
        <v>0</v>
      </c>
      <c r="AM160" s="195">
        <f t="shared" si="211"/>
        <v>-1.8192711187175803E-2</v>
      </c>
      <c r="AN160" s="54"/>
      <c r="AO160" s="198">
        <f t="shared" si="212"/>
        <v>0</v>
      </c>
      <c r="AP160" s="195">
        <f t="shared" si="212"/>
        <v>-0.23685269862739577</v>
      </c>
      <c r="AQ160" s="54"/>
      <c r="AR160" s="197">
        <f t="shared" si="213"/>
        <v>0</v>
      </c>
      <c r="AS160" s="195">
        <f t="shared" si="213"/>
        <v>-0.19185804136446194</v>
      </c>
      <c r="AT160" s="178"/>
      <c r="AU160" s="198">
        <v>0.18794123127247131</v>
      </c>
      <c r="AV160" s="195">
        <v>7.7690613027666027</v>
      </c>
      <c r="AW160" s="54"/>
      <c r="AX160" s="197">
        <v>0.18794123127247131</v>
      </c>
      <c r="AY160" s="195">
        <v>8.0857356953080259</v>
      </c>
      <c r="AZ160" s="178"/>
      <c r="BA160" s="198">
        <v>0.18794123127247131</v>
      </c>
      <c r="BB160" s="195">
        <v>7.9935098801300146</v>
      </c>
      <c r="BC160" s="54"/>
      <c r="BD160" s="197">
        <v>0.18794123127247131</v>
      </c>
      <c r="BE160" s="195">
        <v>8.2594010254853121</v>
      </c>
      <c r="BF160" s="178"/>
      <c r="BG160" s="178"/>
      <c r="BH160" s="178"/>
      <c r="BI160" s="178"/>
      <c r="BJ160" s="178"/>
    </row>
    <row r="161" spans="2:62" hidden="1" outlineLevel="1" x14ac:dyDescent="0.4">
      <c r="C161" s="56" t="s">
        <v>23</v>
      </c>
      <c r="D161" s="57" t="s">
        <v>8</v>
      </c>
      <c r="E161" s="136">
        <v>777</v>
      </c>
      <c r="F161" s="195">
        <f>E161*F115+E115</f>
        <v>13.56253276211975</v>
      </c>
      <c r="G161" s="54"/>
      <c r="H161" s="136">
        <v>777</v>
      </c>
      <c r="I161" s="195">
        <f>H161*I115+H115</f>
        <v>13.56253276211975</v>
      </c>
      <c r="J161" s="54"/>
      <c r="K161" s="136">
        <v>777</v>
      </c>
      <c r="L161" s="195">
        <f>K161*L115+K115</f>
        <v>13.701799999999999</v>
      </c>
      <c r="M161" s="54"/>
      <c r="N161" s="136">
        <v>777</v>
      </c>
      <c r="O161" s="195">
        <f>N161*O115+N115</f>
        <v>13.9072</v>
      </c>
      <c r="P161" s="54"/>
      <c r="Q161" s="136">
        <v>777</v>
      </c>
      <c r="R161" s="195">
        <f>Q161*R115+Q115</f>
        <v>13.9072</v>
      </c>
      <c r="S161" s="54"/>
      <c r="T161" s="136">
        <v>777</v>
      </c>
      <c r="U161" s="195">
        <f>T161*U115+T115</f>
        <v>16.968200000000003</v>
      </c>
      <c r="V161" s="54"/>
      <c r="W161" s="136">
        <v>777</v>
      </c>
      <c r="X161" s="195">
        <f>W161*X115+W115</f>
        <v>18.1906</v>
      </c>
      <c r="Y161" s="54"/>
      <c r="Z161" s="136">
        <v>777</v>
      </c>
      <c r="AA161" s="195">
        <f>Z161*AA115+Z115</f>
        <v>18.5914</v>
      </c>
      <c r="AB161" s="54"/>
      <c r="AC161" s="136">
        <v>777</v>
      </c>
      <c r="AD161" s="195">
        <f>AC161*AD115+AC115</f>
        <v>19.207599999999999</v>
      </c>
      <c r="AE161" s="54"/>
      <c r="AF161" s="136">
        <v>777</v>
      </c>
      <c r="AG161" s="195">
        <f>AF161*AG115+AF115</f>
        <v>20.0092</v>
      </c>
      <c r="AH161" s="178"/>
      <c r="AI161" s="139">
        <f t="shared" si="210"/>
        <v>0</v>
      </c>
      <c r="AJ161" s="195">
        <f t="shared" si="210"/>
        <v>0.42079999999999984</v>
      </c>
      <c r="AK161" s="54"/>
      <c r="AL161" s="136">
        <f t="shared" si="211"/>
        <v>0</v>
      </c>
      <c r="AM161" s="195">
        <f t="shared" si="211"/>
        <v>0.42079999999999984</v>
      </c>
      <c r="AN161" s="54"/>
      <c r="AO161" s="139">
        <f t="shared" si="212"/>
        <v>0</v>
      </c>
      <c r="AP161" s="195">
        <f t="shared" si="212"/>
        <v>-0.71390000000000242</v>
      </c>
      <c r="AQ161" s="54"/>
      <c r="AR161" s="136">
        <f t="shared" si="213"/>
        <v>0</v>
      </c>
      <c r="AS161" s="195">
        <f t="shared" si="213"/>
        <v>-0.53849999999999909</v>
      </c>
      <c r="AT161" s="178"/>
      <c r="AU161" s="139">
        <v>777</v>
      </c>
      <c r="AV161" s="195">
        <v>18.786799999999999</v>
      </c>
      <c r="AW161" s="54"/>
      <c r="AX161" s="136">
        <v>777</v>
      </c>
      <c r="AY161" s="195">
        <v>19.5884</v>
      </c>
      <c r="AZ161" s="178"/>
      <c r="BA161" s="139">
        <v>777</v>
      </c>
      <c r="BB161" s="195">
        <v>19.921500000000002</v>
      </c>
      <c r="BC161" s="54"/>
      <c r="BD161" s="136">
        <v>777</v>
      </c>
      <c r="BE161" s="195">
        <v>20.547699999999999</v>
      </c>
      <c r="BF161" s="178"/>
      <c r="BG161" s="178"/>
      <c r="BH161" s="178"/>
      <c r="BI161" s="178"/>
      <c r="BJ161" s="178"/>
    </row>
    <row r="162" spans="2:62" hidden="1" outlineLevel="1" x14ac:dyDescent="0.4">
      <c r="C162" s="56" t="s">
        <v>24</v>
      </c>
      <c r="D162" s="57" t="s">
        <v>27</v>
      </c>
      <c r="E162" s="197">
        <v>0.5</v>
      </c>
      <c r="F162" s="195">
        <f>E162*F116+E116</f>
        <v>7.2455793489061158</v>
      </c>
      <c r="G162" s="54"/>
      <c r="H162" s="197">
        <v>0.5</v>
      </c>
      <c r="I162" s="195">
        <f>H162*I116+H116</f>
        <v>7.2455793489061158</v>
      </c>
      <c r="J162" s="54"/>
      <c r="K162" s="197">
        <v>0.5</v>
      </c>
      <c r="L162" s="195">
        <f>K162*L116+K116</f>
        <v>7.3282999999999996</v>
      </c>
      <c r="M162" s="54"/>
      <c r="N162" s="197">
        <v>0.5</v>
      </c>
      <c r="O162" s="195">
        <f>N162*O116+N116</f>
        <v>7.4457000000000004</v>
      </c>
      <c r="P162" s="54"/>
      <c r="Q162" s="197">
        <v>0.5</v>
      </c>
      <c r="R162" s="195">
        <f>Q162*R116+Q116</f>
        <v>7.4457000000000004</v>
      </c>
      <c r="S162" s="54"/>
      <c r="T162" s="197">
        <v>0.5</v>
      </c>
      <c r="U162" s="195">
        <f>T162*U116+T116</f>
        <v>8.4166500000000006</v>
      </c>
      <c r="V162" s="54"/>
      <c r="W162" s="197">
        <v>0.5</v>
      </c>
      <c r="X162" s="195">
        <f>W162*X116+W116</f>
        <v>9.0144000000000002</v>
      </c>
      <c r="Y162" s="54"/>
      <c r="Z162" s="197">
        <v>0.5</v>
      </c>
      <c r="AA162" s="195">
        <f>Z162*AA116+Z116</f>
        <v>9.2056000000000004</v>
      </c>
      <c r="AB162" s="54"/>
      <c r="AC162" s="197">
        <v>0.5</v>
      </c>
      <c r="AD162" s="195">
        <f>AC162*AD116+AC116</f>
        <v>9.5170499999999993</v>
      </c>
      <c r="AE162" s="54"/>
      <c r="AF162" s="197">
        <v>0.5</v>
      </c>
      <c r="AG162" s="195">
        <f>AF162*AG116+AF116</f>
        <v>9.8958999999999993</v>
      </c>
      <c r="AH162" s="178"/>
      <c r="AI162" s="198">
        <f t="shared" si="210"/>
        <v>0</v>
      </c>
      <c r="AJ162" s="195">
        <f t="shared" si="210"/>
        <v>-2.8550000000000963E-2</v>
      </c>
      <c r="AK162" s="54"/>
      <c r="AL162" s="197">
        <f t="shared" si="211"/>
        <v>0</v>
      </c>
      <c r="AM162" s="195">
        <f t="shared" si="211"/>
        <v>-4.2500000000000426E-2</v>
      </c>
      <c r="AN162" s="54"/>
      <c r="AO162" s="198">
        <f t="shared" si="212"/>
        <v>0</v>
      </c>
      <c r="AP162" s="195">
        <f t="shared" si="212"/>
        <v>-0.22140000000000093</v>
      </c>
      <c r="AQ162" s="54"/>
      <c r="AR162" s="197">
        <f t="shared" si="213"/>
        <v>0</v>
      </c>
      <c r="AS162" s="195">
        <f t="shared" si="213"/>
        <v>-0.16630000000000145</v>
      </c>
      <c r="AT162" s="178"/>
      <c r="AU162" s="198">
        <v>0.5</v>
      </c>
      <c r="AV162" s="195">
        <v>9.5456000000000003</v>
      </c>
      <c r="AW162" s="54"/>
      <c r="AX162" s="197">
        <v>0.5</v>
      </c>
      <c r="AY162" s="195">
        <v>9.9383999999999997</v>
      </c>
      <c r="AZ162" s="178"/>
      <c r="BA162" s="198">
        <v>0.5</v>
      </c>
      <c r="BB162" s="195">
        <v>9.7384500000000003</v>
      </c>
      <c r="BC162" s="54"/>
      <c r="BD162" s="197">
        <v>0.5</v>
      </c>
      <c r="BE162" s="195">
        <v>10.062200000000001</v>
      </c>
      <c r="BF162" s="178"/>
      <c r="BG162" s="178"/>
      <c r="BH162" s="178"/>
      <c r="BI162" s="178"/>
      <c r="BJ162" s="178"/>
    </row>
    <row r="163" spans="2:62" hidden="1" outlineLevel="1" x14ac:dyDescent="0.4">
      <c r="C163" s="39"/>
      <c r="D163" s="39"/>
      <c r="E163" s="52"/>
      <c r="F163" s="53"/>
      <c r="G163" s="54"/>
      <c r="H163" s="20"/>
      <c r="I163" s="53"/>
      <c r="J163" s="54"/>
      <c r="K163" s="20"/>
      <c r="L163" s="53"/>
      <c r="M163" s="54"/>
      <c r="N163" s="20"/>
      <c r="O163" s="53"/>
      <c r="P163" s="54"/>
      <c r="Q163" s="20"/>
      <c r="R163" s="53"/>
      <c r="S163" s="54"/>
      <c r="T163" s="20"/>
      <c r="U163" s="53"/>
      <c r="V163" s="54"/>
      <c r="W163" s="20"/>
      <c r="X163" s="53"/>
      <c r="Y163" s="54"/>
      <c r="Z163" s="20"/>
      <c r="AA163" s="53"/>
      <c r="AB163" s="54"/>
      <c r="AC163" s="20"/>
      <c r="AD163" s="53"/>
      <c r="AE163" s="54"/>
      <c r="AF163" s="20"/>
      <c r="AG163" s="53"/>
      <c r="AH163" s="178"/>
      <c r="AI163" s="69"/>
      <c r="AJ163" s="53"/>
      <c r="AK163" s="54"/>
      <c r="AL163" s="20"/>
      <c r="AM163" s="53"/>
      <c r="AN163" s="54"/>
      <c r="AO163" s="69"/>
      <c r="AP163" s="53"/>
      <c r="AQ163" s="54"/>
      <c r="AR163" s="20"/>
      <c r="AS163" s="53"/>
      <c r="AT163" s="178"/>
      <c r="AU163" s="69"/>
      <c r="AV163" s="53"/>
      <c r="AW163" s="54"/>
      <c r="AX163" s="20"/>
      <c r="AY163" s="53"/>
      <c r="AZ163" s="178"/>
      <c r="BA163" s="69"/>
      <c r="BB163" s="53"/>
      <c r="BC163" s="54"/>
      <c r="BD163" s="20"/>
      <c r="BE163" s="53"/>
      <c r="BF163" s="178"/>
      <c r="BG163" s="178"/>
      <c r="BH163" s="178"/>
      <c r="BI163" s="178"/>
      <c r="BJ163" s="178"/>
    </row>
    <row r="164" spans="2:62" hidden="1" outlineLevel="1" x14ac:dyDescent="0.4">
      <c r="B164" s="103" t="s">
        <v>68</v>
      </c>
      <c r="E164" s="150"/>
      <c r="F164" s="151"/>
      <c r="H164" s="20"/>
      <c r="I164" s="151"/>
      <c r="K164" s="20"/>
      <c r="L164" s="151"/>
      <c r="N164" s="20"/>
      <c r="O164" s="151"/>
      <c r="Q164" s="20"/>
      <c r="R164" s="151"/>
      <c r="T164" s="20"/>
      <c r="U164" s="199"/>
      <c r="W164" s="20"/>
      <c r="X164" s="151"/>
      <c r="Z164" s="20"/>
      <c r="AA164" s="151"/>
      <c r="AC164" s="20"/>
      <c r="AD164" s="151"/>
      <c r="AF164" s="20"/>
      <c r="AG164" s="151"/>
      <c r="AH164" s="178"/>
      <c r="AI164" s="69"/>
      <c r="AJ164" s="151"/>
      <c r="AL164" s="20"/>
      <c r="AM164" s="151"/>
      <c r="AO164" s="69"/>
      <c r="AP164" s="151"/>
      <c r="AR164" s="20"/>
      <c r="AS164" s="151"/>
      <c r="AT164" s="178"/>
      <c r="AU164" s="69"/>
      <c r="AV164" s="151"/>
      <c r="AX164" s="20"/>
      <c r="AY164" s="151"/>
      <c r="AZ164" s="178"/>
      <c r="BA164" s="69"/>
      <c r="BB164" s="151"/>
      <c r="BD164" s="20"/>
      <c r="BE164" s="151"/>
      <c r="BF164" s="178"/>
      <c r="BG164" s="178"/>
      <c r="BH164" s="178"/>
      <c r="BI164" s="178"/>
      <c r="BJ164" s="178"/>
    </row>
    <row r="165" spans="2:62" hidden="1" outlineLevel="1" x14ac:dyDescent="0.4">
      <c r="C165" s="56" t="s">
        <v>17</v>
      </c>
      <c r="D165" s="57"/>
      <c r="E165" s="153"/>
      <c r="F165" s="154"/>
      <c r="G165" s="54"/>
      <c r="H165" s="20"/>
      <c r="I165" s="162">
        <f>(I155-F155)/F155</f>
        <v>0</v>
      </c>
      <c r="J165" s="54"/>
      <c r="K165" s="20"/>
      <c r="L165" s="162">
        <f>(L155-I155)/I155</f>
        <v>9.1252730831691154E-3</v>
      </c>
      <c r="M165" s="54"/>
      <c r="N165" s="20"/>
      <c r="O165" s="162">
        <f>(O155-L155)/L155</f>
        <v>1.632414939403621E-2</v>
      </c>
      <c r="P165" s="54"/>
      <c r="Q165" s="20"/>
      <c r="R165" s="162">
        <f>(R155-L155)/L155</f>
        <v>1.632414939403621E-2</v>
      </c>
      <c r="S165" s="54"/>
      <c r="T165" s="20"/>
      <c r="U165" s="162">
        <f>(U155-R155)/R155</f>
        <v>0.16406368460955259</v>
      </c>
      <c r="V165" s="54"/>
      <c r="W165" s="20"/>
      <c r="X165" s="162">
        <f>(X155-U155)/U155</f>
        <v>7.1782132157278827E-2</v>
      </c>
      <c r="Y165" s="54"/>
      <c r="Z165" s="20"/>
      <c r="AA165" s="162">
        <f>(AA155-X155)/X155</f>
        <v>1.1333153924283549E-2</v>
      </c>
      <c r="AB165" s="54"/>
      <c r="AC165" s="20"/>
      <c r="AD165" s="162">
        <f>(AD155-AA155)/AA155</f>
        <v>2.4081855131181933E-2</v>
      </c>
      <c r="AE165" s="54"/>
      <c r="AF165" s="20"/>
      <c r="AG165" s="162">
        <f>(AG155-AD155)/AD155</f>
        <v>2.7710722188694463E-2</v>
      </c>
      <c r="AH165" s="178"/>
      <c r="AI165" s="69"/>
      <c r="AJ165" s="162">
        <f t="shared" ref="AJ165:AJ172" si="214">AD165-AV165</f>
        <v>5.7511470104768328E-4</v>
      </c>
      <c r="AK165" s="54"/>
      <c r="AL165" s="20"/>
      <c r="AM165" s="162">
        <f t="shared" ref="AM165:AM172" si="215">AG165-AY165</f>
        <v>5.1548041431213401E-3</v>
      </c>
      <c r="AN165" s="54"/>
      <c r="AO165" s="69"/>
      <c r="AP165" s="162">
        <f t="shared" ref="AP165:AP172" si="216">AD165-BB165</f>
        <v>-2.4317909672656624E-2</v>
      </c>
      <c r="AQ165" s="54"/>
      <c r="AR165" s="20"/>
      <c r="AS165" s="162">
        <f t="shared" ref="AS165:AS172" si="217">AG165-BE165</f>
        <v>5.6903679962711784E-3</v>
      </c>
      <c r="AT165" s="178"/>
      <c r="AU165" s="69"/>
      <c r="AV165" s="162">
        <v>2.3506740430134249E-2</v>
      </c>
      <c r="AW165" s="54"/>
      <c r="AX165" s="20"/>
      <c r="AY165" s="162">
        <v>2.2555918045573123E-2</v>
      </c>
      <c r="AZ165" s="178"/>
      <c r="BA165" s="69"/>
      <c r="BB165" s="162">
        <v>4.8399764803838556E-2</v>
      </c>
      <c r="BC165" s="54"/>
      <c r="BD165" s="20"/>
      <c r="BE165" s="162">
        <v>2.2020354192423285E-2</v>
      </c>
      <c r="BF165" s="178"/>
      <c r="BG165" s="178"/>
      <c r="BH165" s="178"/>
      <c r="BI165" s="178"/>
      <c r="BJ165" s="178"/>
    </row>
    <row r="166" spans="2:62" hidden="1" outlineLevel="1" x14ac:dyDescent="0.4">
      <c r="C166" s="56" t="s">
        <v>18</v>
      </c>
      <c r="D166" s="57"/>
      <c r="E166" s="153"/>
      <c r="F166" s="154"/>
      <c r="G166" s="54"/>
      <c r="H166" s="20"/>
      <c r="I166" s="162">
        <f t="shared" ref="I166:I172" si="218">(I156-F156)/F156</f>
        <v>0</v>
      </c>
      <c r="J166" s="54"/>
      <c r="K166" s="20"/>
      <c r="L166" s="162">
        <f t="shared" ref="L166:L172" si="219">(L156-I156)/I156</f>
        <v>1.0344308098723642E-2</v>
      </c>
      <c r="M166" s="54"/>
      <c r="N166" s="20"/>
      <c r="O166" s="162">
        <f t="shared" ref="O166:O172" si="220">(O156-L156)/L156</f>
        <v>1.7633157607707797E-2</v>
      </c>
      <c r="P166" s="54"/>
      <c r="Q166" s="20"/>
      <c r="R166" s="162">
        <f t="shared" ref="R166:R172" si="221">(R156-L156)/L156</f>
        <v>1.7633157607707797E-2</v>
      </c>
      <c r="S166" s="54"/>
      <c r="T166" s="20"/>
      <c r="U166" s="162">
        <f t="shared" ref="U166:U172" si="222">(U156-R156)/R156</f>
        <v>6.9667738478026691E-3</v>
      </c>
      <c r="V166" s="54"/>
      <c r="W166" s="20"/>
      <c r="X166" s="162">
        <f t="shared" ref="X166:X172" si="223">(X156-U156)/U156</f>
        <v>6.4041156643604616E-2</v>
      </c>
      <c r="Y166" s="54"/>
      <c r="Z166" s="20"/>
      <c r="AA166" s="162">
        <f t="shared" ref="AA166:AA172" si="224">(AA156-X156)/X156</f>
        <v>2.2340780260086755E-2</v>
      </c>
      <c r="AB166" s="54"/>
      <c r="AC166" s="20"/>
      <c r="AD166" s="162">
        <f t="shared" ref="AD166:AD172" si="225">(AD156-AA156)/AA156</f>
        <v>3.3431180691454739E-2</v>
      </c>
      <c r="AE166" s="54"/>
      <c r="AF166" s="20"/>
      <c r="AG166" s="162">
        <f t="shared" ref="AG166:AG172" si="226">(AG156-AD156)/AD156</f>
        <v>3.8188417232128687E-2</v>
      </c>
      <c r="AH166" s="178"/>
      <c r="AI166" s="69"/>
      <c r="AJ166" s="162">
        <f t="shared" si="214"/>
        <v>-4.8923679060666053E-3</v>
      </c>
      <c r="AK166" s="54"/>
      <c r="AL166" s="20"/>
      <c r="AM166" s="162">
        <f t="shared" si="215"/>
        <v>-3.2753804747976609E-3</v>
      </c>
      <c r="AN166" s="54"/>
      <c r="AO166" s="69"/>
      <c r="AP166" s="162">
        <f t="shared" si="216"/>
        <v>-2.462491846053487E-2</v>
      </c>
      <c r="AQ166" s="54"/>
      <c r="AR166" s="20"/>
      <c r="AS166" s="162">
        <f t="shared" si="217"/>
        <v>6.5916231507474957E-3</v>
      </c>
      <c r="AT166" s="178"/>
      <c r="AU166" s="69"/>
      <c r="AV166" s="162">
        <v>3.8323548597521344E-2</v>
      </c>
      <c r="AW166" s="54"/>
      <c r="AX166" s="20"/>
      <c r="AY166" s="162">
        <v>4.1463797706926347E-2</v>
      </c>
      <c r="AZ166" s="178"/>
      <c r="BA166" s="69"/>
      <c r="BB166" s="162">
        <v>5.8056099151989608E-2</v>
      </c>
      <c r="BC166" s="54"/>
      <c r="BD166" s="20"/>
      <c r="BE166" s="162">
        <v>3.1596794081381191E-2</v>
      </c>
      <c r="BF166" s="178"/>
      <c r="BG166" s="178"/>
      <c r="BH166" s="178"/>
      <c r="BI166" s="178"/>
      <c r="BJ166" s="178"/>
    </row>
    <row r="167" spans="2:62" hidden="1" outlineLevel="1" x14ac:dyDescent="0.4">
      <c r="C167" s="56" t="s">
        <v>19</v>
      </c>
      <c r="D167" s="57"/>
      <c r="E167" s="153"/>
      <c r="F167" s="154"/>
      <c r="G167" s="54"/>
      <c r="H167" s="20"/>
      <c r="I167" s="162">
        <f t="shared" si="218"/>
        <v>-4.613734148213474E-2</v>
      </c>
      <c r="J167" s="54"/>
      <c r="K167" s="20"/>
      <c r="L167" s="162">
        <f t="shared" si="219"/>
        <v>1.4611045945882781E-2</v>
      </c>
      <c r="M167" s="54"/>
      <c r="N167" s="20"/>
      <c r="O167" s="162">
        <f t="shared" si="220"/>
        <v>6.0262775583997008E-2</v>
      </c>
      <c r="P167" s="54"/>
      <c r="Q167" s="20"/>
      <c r="R167" s="162">
        <f t="shared" si="221"/>
        <v>-4.5123776016636067E-3</v>
      </c>
      <c r="S167" s="54"/>
      <c r="T167" s="20"/>
      <c r="U167" s="162">
        <f t="shared" si="222"/>
        <v>0.14484770522725285</v>
      </c>
      <c r="V167" s="54"/>
      <c r="W167" s="20"/>
      <c r="X167" s="162">
        <f t="shared" si="223"/>
        <v>6.4491215342085725E-2</v>
      </c>
      <c r="Y167" s="54"/>
      <c r="Z167" s="20"/>
      <c r="AA167" s="162">
        <f t="shared" si="224"/>
        <v>1.2946797710155359E-2</v>
      </c>
      <c r="AB167" s="54"/>
      <c r="AC167" s="20"/>
      <c r="AD167" s="162">
        <f t="shared" si="225"/>
        <v>2.2850417210680114E-2</v>
      </c>
      <c r="AE167" s="54"/>
      <c r="AF167" s="20"/>
      <c r="AG167" s="162">
        <f t="shared" si="226"/>
        <v>2.9408464845810719E-2</v>
      </c>
      <c r="AH167" s="178"/>
      <c r="AI167" s="69"/>
      <c r="AJ167" s="162">
        <f t="shared" si="214"/>
        <v>2.7785118254668215E-2</v>
      </c>
      <c r="AK167" s="54"/>
      <c r="AL167" s="20"/>
      <c r="AM167" s="162">
        <f t="shared" si="215"/>
        <v>4.8704852015120474E-3</v>
      </c>
      <c r="AN167" s="54"/>
      <c r="AO167" s="69"/>
      <c r="AP167" s="162">
        <f t="shared" si="216"/>
        <v>-2.3578199222287249E-2</v>
      </c>
      <c r="AQ167" s="54"/>
      <c r="AR167" s="20"/>
      <c r="AS167" s="162">
        <f t="shared" si="217"/>
        <v>6.3288089780380238E-3</v>
      </c>
      <c r="AT167" s="178"/>
      <c r="AU167" s="69"/>
      <c r="AV167" s="162">
        <v>-4.9347010439880993E-3</v>
      </c>
      <c r="AW167" s="54"/>
      <c r="AX167" s="20"/>
      <c r="AY167" s="162">
        <v>2.4537979644298671E-2</v>
      </c>
      <c r="AZ167" s="178"/>
      <c r="BA167" s="69"/>
      <c r="BB167" s="162">
        <v>4.6428616432967362E-2</v>
      </c>
      <c r="BC167" s="54"/>
      <c r="BD167" s="20"/>
      <c r="BE167" s="162">
        <v>2.3079655867772695E-2</v>
      </c>
      <c r="BF167" s="178"/>
      <c r="BG167" s="178"/>
      <c r="BH167" s="178"/>
      <c r="BI167" s="178"/>
      <c r="BJ167" s="178"/>
    </row>
    <row r="168" spans="2:62" hidden="1" outlineLevel="1" x14ac:dyDescent="0.4">
      <c r="C168" s="56" t="s">
        <v>20</v>
      </c>
      <c r="D168" s="57"/>
      <c r="E168" s="153"/>
      <c r="F168" s="154"/>
      <c r="G168" s="54"/>
      <c r="H168" s="20"/>
      <c r="I168" s="162">
        <f t="shared" si="218"/>
        <v>0</v>
      </c>
      <c r="J168" s="54"/>
      <c r="K168" s="20"/>
      <c r="L168" s="162">
        <f t="shared" si="219"/>
        <v>1.0806470409297844E-2</v>
      </c>
      <c r="M168" s="54"/>
      <c r="N168" s="20"/>
      <c r="O168" s="162">
        <f t="shared" si="220"/>
        <v>1.5510953711198315E-2</v>
      </c>
      <c r="P168" s="54"/>
      <c r="Q168" s="20"/>
      <c r="R168" s="162">
        <f t="shared" si="221"/>
        <v>1.5510953711198315E-2</v>
      </c>
      <c r="S168" s="54"/>
      <c r="T168" s="20"/>
      <c r="U168" s="162">
        <f t="shared" si="222"/>
        <v>-0.1341437147560984</v>
      </c>
      <c r="V168" s="54"/>
      <c r="W168" s="20"/>
      <c r="X168" s="162">
        <f t="shared" si="223"/>
        <v>5.6929563070779544E-2</v>
      </c>
      <c r="Y168" s="54"/>
      <c r="Z168" s="20"/>
      <c r="AA168" s="162">
        <f t="shared" si="224"/>
        <v>1.7645891183590407E-2</v>
      </c>
      <c r="AB168" s="54"/>
      <c r="AC168" s="20"/>
      <c r="AD168" s="162">
        <f t="shared" si="225"/>
        <v>2.8109317783772094E-2</v>
      </c>
      <c r="AE168" s="54"/>
      <c r="AF168" s="20"/>
      <c r="AG168" s="162">
        <f t="shared" si="226"/>
        <v>3.3030158135849905E-2</v>
      </c>
      <c r="AH168" s="178"/>
      <c r="AI168" s="69"/>
      <c r="AJ168" s="162">
        <f t="shared" si="214"/>
        <v>-1.8084826260763888E-3</v>
      </c>
      <c r="AK168" s="54"/>
      <c r="AL168" s="20"/>
      <c r="AM168" s="162">
        <f t="shared" si="215"/>
        <v>-7.5690229979947371E-4</v>
      </c>
      <c r="AN168" s="54"/>
      <c r="AO168" s="69"/>
      <c r="AP168" s="162">
        <f t="shared" si="216"/>
        <v>-1.9532228580069203E-2</v>
      </c>
      <c r="AQ168" s="54"/>
      <c r="AR168" s="20"/>
      <c r="AS168" s="162">
        <f t="shared" si="217"/>
        <v>5.7374921881646439E-3</v>
      </c>
      <c r="AT168" s="178"/>
      <c r="AU168" s="69"/>
      <c r="AV168" s="162">
        <v>2.9917800409848483E-2</v>
      </c>
      <c r="AW168" s="54"/>
      <c r="AX168" s="20"/>
      <c r="AY168" s="162">
        <v>3.3787060435649378E-2</v>
      </c>
      <c r="AZ168" s="178"/>
      <c r="BA168" s="69"/>
      <c r="BB168" s="162">
        <v>4.7641546363841297E-2</v>
      </c>
      <c r="BC168" s="54"/>
      <c r="BD168" s="20"/>
      <c r="BE168" s="162">
        <v>2.7292665947685261E-2</v>
      </c>
      <c r="BF168" s="178"/>
      <c r="BG168" s="178"/>
      <c r="BH168" s="178"/>
      <c r="BI168" s="178"/>
      <c r="BJ168" s="178"/>
    </row>
    <row r="169" spans="2:62" hidden="1" outlineLevel="1" x14ac:dyDescent="0.4">
      <c r="C169" s="56" t="s">
        <v>21</v>
      </c>
      <c r="D169" s="57"/>
      <c r="E169" s="153"/>
      <c r="F169" s="154"/>
      <c r="G169" s="54"/>
      <c r="H169" s="20"/>
      <c r="I169" s="162">
        <f t="shared" si="218"/>
        <v>4.3980381059386085E-3</v>
      </c>
      <c r="J169" s="54"/>
      <c r="K169" s="20"/>
      <c r="L169" s="162">
        <f t="shared" si="219"/>
        <v>2.6185109088189541E-2</v>
      </c>
      <c r="M169" s="54"/>
      <c r="N169" s="20"/>
      <c r="O169" s="162">
        <f t="shared" si="220"/>
        <v>2.0196694162057102E-2</v>
      </c>
      <c r="P169" s="54"/>
      <c r="Q169" s="20"/>
      <c r="R169" s="162">
        <f t="shared" si="221"/>
        <v>2.0196694162057102E-2</v>
      </c>
      <c r="S169" s="54"/>
      <c r="T169" s="20"/>
      <c r="U169" s="162">
        <f t="shared" si="222"/>
        <v>-4.7162228841953785E-2</v>
      </c>
      <c r="V169" s="54"/>
      <c r="W169" s="20"/>
      <c r="X169" s="162">
        <f t="shared" si="223"/>
        <v>6.8794211441404088E-2</v>
      </c>
      <c r="Y169" s="54"/>
      <c r="Z169" s="20"/>
      <c r="AA169" s="162">
        <f t="shared" si="224"/>
        <v>2.2918785378186399E-2</v>
      </c>
      <c r="AB169" s="54"/>
      <c r="AC169" s="20"/>
      <c r="AD169" s="162">
        <f t="shared" si="225"/>
        <v>3.3793131165862016E-2</v>
      </c>
      <c r="AE169" s="54"/>
      <c r="AF169" s="20"/>
      <c r="AG169" s="162">
        <f t="shared" si="226"/>
        <v>3.7389509584727129E-2</v>
      </c>
      <c r="AH169" s="178"/>
      <c r="AI169" s="69"/>
      <c r="AJ169" s="162">
        <f t="shared" si="214"/>
        <v>3.6354498822289992E-2</v>
      </c>
      <c r="AK169" s="54"/>
      <c r="AL169" s="20"/>
      <c r="AM169" s="162">
        <f t="shared" si="215"/>
        <v>1.0318740263423654E-2</v>
      </c>
      <c r="AN169" s="54"/>
      <c r="AO169" s="69"/>
      <c r="AP169" s="162">
        <f t="shared" si="216"/>
        <v>-2.3817138509355164E-2</v>
      </c>
      <c r="AQ169" s="54"/>
      <c r="AR169" s="20"/>
      <c r="AS169" s="162">
        <f t="shared" si="217"/>
        <v>7.0620438542621164E-3</v>
      </c>
      <c r="AT169" s="178"/>
      <c r="AU169" s="69"/>
      <c r="AV169" s="162">
        <v>-2.5613676564279781E-3</v>
      </c>
      <c r="AW169" s="54"/>
      <c r="AX169" s="20"/>
      <c r="AY169" s="162">
        <v>2.7070769321303475E-2</v>
      </c>
      <c r="AZ169" s="178"/>
      <c r="BA169" s="69"/>
      <c r="BB169" s="162">
        <v>5.7610269675217179E-2</v>
      </c>
      <c r="BC169" s="54"/>
      <c r="BD169" s="20"/>
      <c r="BE169" s="162">
        <v>3.0327465730465013E-2</v>
      </c>
      <c r="BF169" s="178"/>
      <c r="BG169" s="178"/>
      <c r="BH169" s="178"/>
      <c r="BI169" s="178"/>
      <c r="BJ169" s="178"/>
    </row>
    <row r="170" spans="2:62" hidden="1" outlineLevel="1" x14ac:dyDescent="0.4">
      <c r="C170" s="56" t="s">
        <v>22</v>
      </c>
      <c r="D170" s="57"/>
      <c r="E170" s="153"/>
      <c r="F170" s="154"/>
      <c r="G170" s="54"/>
      <c r="H170" s="20"/>
      <c r="I170" s="162">
        <f t="shared" si="218"/>
        <v>0</v>
      </c>
      <c r="J170" s="54"/>
      <c r="K170" s="20"/>
      <c r="L170" s="162">
        <f t="shared" si="219"/>
        <v>1.0281435157850757E-2</v>
      </c>
      <c r="M170" s="54"/>
      <c r="N170" s="20"/>
      <c r="O170" s="162">
        <f t="shared" si="220"/>
        <v>1.5981914083213974E-2</v>
      </c>
      <c r="P170" s="54"/>
      <c r="Q170" s="20"/>
      <c r="R170" s="162">
        <f t="shared" si="221"/>
        <v>1.5981914083213974E-2</v>
      </c>
      <c r="S170" s="54"/>
      <c r="T170" s="20"/>
      <c r="U170" s="162">
        <f t="shared" si="222"/>
        <v>0.40861379450414398</v>
      </c>
      <c r="V170" s="54"/>
      <c r="W170" s="20"/>
      <c r="X170" s="162">
        <f t="shared" si="223"/>
        <v>0.10869693629303459</v>
      </c>
      <c r="Y170" s="54"/>
      <c r="Z170" s="20"/>
      <c r="AA170" s="162">
        <f t="shared" si="224"/>
        <v>4.9643878630001796E-2</v>
      </c>
      <c r="AB170" s="54"/>
      <c r="AC170" s="20"/>
      <c r="AD170" s="162">
        <f t="shared" si="225"/>
        <v>3.4836375633941846E-2</v>
      </c>
      <c r="AE170" s="54"/>
      <c r="AF170" s="20"/>
      <c r="AG170" s="162">
        <f t="shared" si="226"/>
        <v>4.0079868858920814E-2</v>
      </c>
      <c r="AH170" s="178"/>
      <c r="AI170" s="69"/>
      <c r="AJ170" s="162">
        <f t="shared" si="214"/>
        <v>-1.6548669860459511E-3</v>
      </c>
      <c r="AK170" s="54"/>
      <c r="AL170" s="20"/>
      <c r="AM170" s="162">
        <f t="shared" si="215"/>
        <v>-6.8109056723970191E-4</v>
      </c>
      <c r="AN170" s="54"/>
      <c r="AO170" s="69"/>
      <c r="AP170" s="162">
        <f t="shared" si="216"/>
        <v>-3.1599151860313507E-2</v>
      </c>
      <c r="AQ170" s="54"/>
      <c r="AR170" s="20"/>
      <c r="AS170" s="162">
        <f t="shared" si="217"/>
        <v>6.8164902752225198E-3</v>
      </c>
      <c r="AT170" s="178"/>
      <c r="AU170" s="69"/>
      <c r="AV170" s="162">
        <v>3.6491242619987797E-2</v>
      </c>
      <c r="AW170" s="54"/>
      <c r="AX170" s="20"/>
      <c r="AY170" s="162">
        <v>4.0760959426160516E-2</v>
      </c>
      <c r="AZ170" s="178"/>
      <c r="BA170" s="69"/>
      <c r="BB170" s="162">
        <v>6.6435527494255353E-2</v>
      </c>
      <c r="BC170" s="54"/>
      <c r="BD170" s="20"/>
      <c r="BE170" s="162">
        <v>3.3263378583698294E-2</v>
      </c>
      <c r="BF170" s="178"/>
      <c r="BG170" s="178"/>
      <c r="BH170" s="178"/>
      <c r="BI170" s="178"/>
      <c r="BJ170" s="178"/>
    </row>
    <row r="171" spans="2:62" hidden="1" outlineLevel="1" x14ac:dyDescent="0.4">
      <c r="C171" s="56" t="s">
        <v>23</v>
      </c>
      <c r="D171" s="57"/>
      <c r="E171" s="153"/>
      <c r="F171" s="154"/>
      <c r="G171" s="54"/>
      <c r="H171" s="20"/>
      <c r="I171" s="162">
        <f t="shared" si="218"/>
        <v>0</v>
      </c>
      <c r="J171" s="54"/>
      <c r="K171" s="20"/>
      <c r="L171" s="162">
        <f t="shared" si="219"/>
        <v>1.0268527296702535E-2</v>
      </c>
      <c r="M171" s="54"/>
      <c r="N171" s="20"/>
      <c r="O171" s="162">
        <f t="shared" si="220"/>
        <v>1.4990731144813158E-2</v>
      </c>
      <c r="P171" s="54"/>
      <c r="Q171" s="20"/>
      <c r="R171" s="162">
        <f t="shared" si="221"/>
        <v>1.4990731144813158E-2</v>
      </c>
      <c r="S171" s="54"/>
      <c r="T171" s="20"/>
      <c r="U171" s="162">
        <f t="shared" si="222"/>
        <v>0.22010181776346091</v>
      </c>
      <c r="V171" s="54"/>
      <c r="W171" s="20"/>
      <c r="X171" s="162">
        <f t="shared" si="223"/>
        <v>7.2040640727949731E-2</v>
      </c>
      <c r="Y171" s="54"/>
      <c r="Z171" s="20"/>
      <c r="AA171" s="162">
        <f t="shared" si="224"/>
        <v>2.2033357888140044E-2</v>
      </c>
      <c r="AB171" s="54"/>
      <c r="AC171" s="20"/>
      <c r="AD171" s="162">
        <f t="shared" si="225"/>
        <v>3.3144357068321868E-2</v>
      </c>
      <c r="AE171" s="54"/>
      <c r="AF171" s="20"/>
      <c r="AG171" s="162">
        <f t="shared" si="226"/>
        <v>4.1733480497303181E-2</v>
      </c>
      <c r="AH171" s="178"/>
      <c r="AI171" s="69"/>
      <c r="AJ171" s="162">
        <f t="shared" si="214"/>
        <v>2.2634121152791065E-2</v>
      </c>
      <c r="AK171" s="54"/>
      <c r="AL171" s="20"/>
      <c r="AM171" s="162">
        <f t="shared" si="215"/>
        <v>-9.3477593806636644E-4</v>
      </c>
      <c r="AN171" s="54"/>
      <c r="AO171" s="69"/>
      <c r="AP171" s="162">
        <f t="shared" si="216"/>
        <v>-3.8399475026087461E-2</v>
      </c>
      <c r="AQ171" s="54"/>
      <c r="AR171" s="20"/>
      <c r="AS171" s="162">
        <f t="shared" si="217"/>
        <v>1.0300104496500172E-2</v>
      </c>
      <c r="AT171" s="178"/>
      <c r="AU171" s="69"/>
      <c r="AV171" s="162">
        <v>1.0510235915530802E-2</v>
      </c>
      <c r="AW171" s="54"/>
      <c r="AX171" s="20"/>
      <c r="AY171" s="162">
        <v>4.2668256435369548E-2</v>
      </c>
      <c r="AZ171" s="178"/>
      <c r="BA171" s="69"/>
      <c r="BB171" s="162">
        <v>7.1543832094409329E-2</v>
      </c>
      <c r="BC171" s="54"/>
      <c r="BD171" s="20"/>
      <c r="BE171" s="162">
        <v>3.1433376000803009E-2</v>
      </c>
      <c r="BF171" s="178"/>
      <c r="BG171" s="178"/>
      <c r="BH171" s="178"/>
      <c r="BI171" s="178"/>
      <c r="BJ171" s="178"/>
    </row>
    <row r="172" spans="2:62" hidden="1" outlineLevel="1" x14ac:dyDescent="0.4">
      <c r="C172" s="56" t="s">
        <v>24</v>
      </c>
      <c r="D172" s="57"/>
      <c r="E172" s="153"/>
      <c r="F172" s="154"/>
      <c r="G172" s="54"/>
      <c r="H172" s="20"/>
      <c r="I172" s="162">
        <f t="shared" si="218"/>
        <v>0</v>
      </c>
      <c r="J172" s="54"/>
      <c r="K172" s="20"/>
      <c r="L172" s="162">
        <f t="shared" si="219"/>
        <v>1.1416706257778044E-2</v>
      </c>
      <c r="M172" s="54"/>
      <c r="N172" s="20"/>
      <c r="O172" s="162">
        <f t="shared" si="220"/>
        <v>1.6020086513925582E-2</v>
      </c>
      <c r="P172" s="54"/>
      <c r="Q172" s="20"/>
      <c r="R172" s="162">
        <f t="shared" si="221"/>
        <v>1.6020086513925582E-2</v>
      </c>
      <c r="S172" s="54"/>
      <c r="T172" s="20"/>
      <c r="U172" s="162">
        <f t="shared" si="222"/>
        <v>0.13040412587130829</v>
      </c>
      <c r="V172" s="54"/>
      <c r="W172" s="20"/>
      <c r="X172" s="162">
        <f t="shared" si="223"/>
        <v>7.1019942613747694E-2</v>
      </c>
      <c r="Y172" s="54"/>
      <c r="Z172" s="20"/>
      <c r="AA172" s="162">
        <f t="shared" si="224"/>
        <v>2.1210507632232901E-2</v>
      </c>
      <c r="AB172" s="54"/>
      <c r="AC172" s="20"/>
      <c r="AD172" s="162">
        <f t="shared" si="225"/>
        <v>3.3832667072216792E-2</v>
      </c>
      <c r="AE172" s="54"/>
      <c r="AF172" s="20"/>
      <c r="AG172" s="162">
        <f t="shared" si="226"/>
        <v>3.9807503375520768E-2</v>
      </c>
      <c r="AH172" s="178"/>
      <c r="AI172" s="69"/>
      <c r="AJ172" s="162">
        <f t="shared" si="214"/>
        <v>-3.1013730772574272E-3</v>
      </c>
      <c r="AK172" s="54"/>
      <c r="AL172" s="20"/>
      <c r="AM172" s="162">
        <f t="shared" si="215"/>
        <v>-1.3423457696350449E-3</v>
      </c>
      <c r="AN172" s="54"/>
      <c r="AO172" s="69"/>
      <c r="AP172" s="162">
        <f t="shared" si="216"/>
        <v>-2.4050577909098904E-2</v>
      </c>
      <c r="AQ172" s="54"/>
      <c r="AR172" s="20"/>
      <c r="AS172" s="162">
        <f t="shared" si="217"/>
        <v>6.5629932121990461E-3</v>
      </c>
      <c r="AT172" s="178"/>
      <c r="AU172" s="69"/>
      <c r="AV172" s="162">
        <v>3.6934040149474219E-2</v>
      </c>
      <c r="AW172" s="54"/>
      <c r="AX172" s="20"/>
      <c r="AY172" s="162">
        <v>4.1149849145155813E-2</v>
      </c>
      <c r="AZ172" s="178"/>
      <c r="BA172" s="69"/>
      <c r="BB172" s="162">
        <v>5.7883244981315696E-2</v>
      </c>
      <c r="BC172" s="54"/>
      <c r="BD172" s="20"/>
      <c r="BE172" s="162">
        <v>3.3244510163321722E-2</v>
      </c>
      <c r="BF172" s="178"/>
      <c r="BG172" s="178"/>
      <c r="BH172" s="178"/>
      <c r="BI172" s="178"/>
      <c r="BJ172" s="178"/>
    </row>
    <row r="173" spans="2:62" hidden="1" outlineLevel="1" x14ac:dyDescent="0.4">
      <c r="C173" s="56"/>
      <c r="D173" s="57"/>
      <c r="E173" s="153"/>
      <c r="F173" s="154"/>
      <c r="G173" s="54"/>
      <c r="H173" s="20"/>
      <c r="I173" s="162"/>
      <c r="J173" s="54"/>
      <c r="K173" s="20"/>
      <c r="L173" s="162"/>
      <c r="M173" s="54"/>
      <c r="N173" s="20"/>
      <c r="O173" s="162"/>
      <c r="P173" s="54"/>
      <c r="Q173" s="20"/>
      <c r="R173" s="162"/>
      <c r="S173" s="54"/>
      <c r="T173" s="20"/>
      <c r="U173" s="162"/>
      <c r="V173" s="54"/>
      <c r="W173" s="20"/>
      <c r="X173" s="162"/>
      <c r="Y173" s="54"/>
      <c r="Z173" s="20"/>
      <c r="AA173" s="162"/>
      <c r="AB173" s="54"/>
      <c r="AC173" s="20"/>
      <c r="AD173" s="162"/>
      <c r="AE173" s="54"/>
      <c r="AF173" s="20"/>
      <c r="AG173" s="162"/>
      <c r="AH173" s="178"/>
      <c r="AI173" s="69"/>
      <c r="AJ173" s="162"/>
      <c r="AK173" s="54"/>
      <c r="AL173" s="20"/>
      <c r="AM173" s="162"/>
      <c r="AN173" s="54"/>
      <c r="AO173" s="69"/>
      <c r="AP173" s="162"/>
      <c r="AQ173" s="54"/>
      <c r="AR173" s="20"/>
      <c r="AS173" s="162"/>
      <c r="AT173" s="178"/>
      <c r="AU173" s="69"/>
      <c r="AV173" s="162"/>
      <c r="AW173" s="54"/>
      <c r="AX173" s="20"/>
      <c r="AY173" s="162"/>
      <c r="AZ173" s="178"/>
      <c r="BA173" s="69"/>
      <c r="BB173" s="162"/>
      <c r="BC173" s="54"/>
      <c r="BD173" s="20"/>
      <c r="BE173" s="162"/>
      <c r="BF173" s="178"/>
      <c r="BG173" s="178"/>
      <c r="BH173" s="178"/>
      <c r="BI173" s="178"/>
      <c r="BJ173" s="178"/>
    </row>
    <row r="174" spans="2:62" hidden="1" outlineLevel="1" x14ac:dyDescent="0.4">
      <c r="B174" s="51" t="s">
        <v>69</v>
      </c>
      <c r="E174" s="52"/>
      <c r="F174" s="53"/>
      <c r="G174" s="54"/>
      <c r="I174" s="53"/>
      <c r="J174" s="54"/>
      <c r="L174" s="53"/>
      <c r="M174" s="54"/>
      <c r="O174" s="53"/>
      <c r="P174" s="54"/>
      <c r="R174" s="53"/>
      <c r="S174" s="54"/>
      <c r="U174" s="53"/>
      <c r="V174" s="54"/>
      <c r="X174" s="53"/>
      <c r="Y174" s="54"/>
      <c r="AA174" s="53"/>
      <c r="AB174" s="54"/>
      <c r="AD174" s="53"/>
      <c r="AE174" s="54"/>
      <c r="AG174" s="53"/>
      <c r="AH174" s="178"/>
      <c r="AI174" s="22"/>
      <c r="AJ174" s="53"/>
      <c r="AK174" s="54"/>
      <c r="AM174" s="53"/>
      <c r="AN174" s="54"/>
      <c r="AO174" s="22"/>
      <c r="AP174" s="53"/>
      <c r="AQ174" s="54"/>
      <c r="AS174" s="53"/>
      <c r="AT174" s="178"/>
      <c r="AU174" s="22"/>
      <c r="AV174" s="53"/>
      <c r="AW174" s="54"/>
      <c r="AY174" s="53"/>
      <c r="AZ174" s="178"/>
      <c r="BA174" s="22"/>
      <c r="BB174" s="53"/>
      <c r="BC174" s="54"/>
      <c r="BE174" s="53"/>
      <c r="BF174" s="178"/>
      <c r="BG174" s="178"/>
      <c r="BH174" s="178"/>
      <c r="BI174" s="178"/>
      <c r="BJ174" s="178"/>
    </row>
    <row r="175" spans="2:62" hidden="1" outlineLevel="1" x14ac:dyDescent="0.4">
      <c r="B175" s="51"/>
      <c r="E175" s="52"/>
      <c r="F175" s="53"/>
      <c r="G175" s="54"/>
      <c r="I175" s="53"/>
      <c r="J175" s="54"/>
      <c r="L175" s="53"/>
      <c r="M175" s="54"/>
      <c r="O175" s="53"/>
      <c r="P175" s="54"/>
      <c r="R175" s="53"/>
      <c r="S175" s="54"/>
      <c r="U175" s="53"/>
      <c r="V175" s="54"/>
      <c r="X175" s="53"/>
      <c r="Y175" s="54"/>
      <c r="AA175" s="53"/>
      <c r="AB175" s="54"/>
      <c r="AD175" s="53"/>
      <c r="AE175" s="54"/>
      <c r="AG175" s="53"/>
      <c r="AH175" s="178"/>
      <c r="AI175" s="22"/>
      <c r="AJ175" s="53"/>
      <c r="AK175" s="54"/>
      <c r="AM175" s="53"/>
      <c r="AN175" s="54"/>
      <c r="AO175" s="22"/>
      <c r="AP175" s="53"/>
      <c r="AQ175" s="54"/>
      <c r="AS175" s="53"/>
      <c r="AT175" s="178"/>
      <c r="AU175" s="22"/>
      <c r="AV175" s="53"/>
      <c r="AW175" s="54"/>
      <c r="AY175" s="53"/>
      <c r="AZ175" s="178"/>
      <c r="BA175" s="22"/>
      <c r="BB175" s="53"/>
      <c r="BC175" s="54"/>
      <c r="BE175" s="53"/>
      <c r="BF175" s="178"/>
      <c r="BG175" s="178"/>
      <c r="BH175" s="178"/>
      <c r="BI175" s="178"/>
      <c r="BJ175" s="178"/>
    </row>
    <row r="176" spans="2:62" hidden="1" outlineLevel="1" x14ac:dyDescent="0.4">
      <c r="B176" s="51" t="s">
        <v>70</v>
      </c>
      <c r="E176" s="52"/>
      <c r="F176" s="53"/>
      <c r="G176" s="54"/>
      <c r="H176" s="171" t="s">
        <v>71</v>
      </c>
      <c r="I176" s="177" t="s">
        <v>72</v>
      </c>
      <c r="J176" s="54"/>
      <c r="K176" s="171" t="s">
        <v>71</v>
      </c>
      <c r="L176" s="177" t="s">
        <v>72</v>
      </c>
      <c r="M176" s="54"/>
      <c r="N176" s="171" t="s">
        <v>73</v>
      </c>
      <c r="O176" s="177" t="s">
        <v>72</v>
      </c>
      <c r="P176" s="54"/>
      <c r="Q176" s="171" t="s">
        <v>71</v>
      </c>
      <c r="R176" s="177" t="s">
        <v>72</v>
      </c>
      <c r="S176" s="54"/>
      <c r="T176" s="171" t="s">
        <v>73</v>
      </c>
      <c r="U176" s="177" t="s">
        <v>72</v>
      </c>
      <c r="V176" s="54"/>
      <c r="W176" s="171" t="s">
        <v>73</v>
      </c>
      <c r="X176" s="177" t="s">
        <v>72</v>
      </c>
      <c r="Y176" s="54"/>
      <c r="Z176" s="171" t="s">
        <v>73</v>
      </c>
      <c r="AA176" s="177" t="s">
        <v>72</v>
      </c>
      <c r="AB176" s="54"/>
      <c r="AC176" s="171" t="s">
        <v>73</v>
      </c>
      <c r="AD176" s="177" t="s">
        <v>72</v>
      </c>
      <c r="AE176" s="54"/>
      <c r="AF176" s="171" t="s">
        <v>73</v>
      </c>
      <c r="AG176" s="177" t="s">
        <v>72</v>
      </c>
      <c r="AH176" s="178"/>
      <c r="AI176" s="200" t="s">
        <v>73</v>
      </c>
      <c r="AJ176" s="177" t="s">
        <v>72</v>
      </c>
      <c r="AK176" s="54"/>
      <c r="AL176" s="171" t="s">
        <v>73</v>
      </c>
      <c r="AM176" s="177" t="s">
        <v>72</v>
      </c>
      <c r="AN176" s="54"/>
      <c r="AO176" s="200" t="s">
        <v>73</v>
      </c>
      <c r="AP176" s="177" t="s">
        <v>72</v>
      </c>
      <c r="AQ176" s="54"/>
      <c r="AR176" s="171" t="s">
        <v>73</v>
      </c>
      <c r="AS176" s="177" t="s">
        <v>72</v>
      </c>
      <c r="AT176" s="178"/>
      <c r="AU176" s="200" t="s">
        <v>73</v>
      </c>
      <c r="AV176" s="177" t="s">
        <v>72</v>
      </c>
      <c r="AW176" s="54"/>
      <c r="AX176" s="171" t="s">
        <v>73</v>
      </c>
      <c r="AY176" s="177" t="s">
        <v>72</v>
      </c>
      <c r="AZ176" s="178"/>
      <c r="BA176" s="200" t="s">
        <v>73</v>
      </c>
      <c r="BB176" s="177" t="s">
        <v>72</v>
      </c>
      <c r="BC176" s="54"/>
      <c r="BD176" s="171" t="s">
        <v>73</v>
      </c>
      <c r="BE176" s="177" t="s">
        <v>72</v>
      </c>
      <c r="BF176" s="178"/>
      <c r="BG176" s="178"/>
      <c r="BH176" s="178"/>
      <c r="BI176" s="178"/>
      <c r="BJ176" s="178"/>
    </row>
    <row r="177" spans="1:62" hidden="1" outlineLevel="1" x14ac:dyDescent="0.4">
      <c r="C177" s="56" t="s">
        <v>17</v>
      </c>
      <c r="D177" s="57"/>
      <c r="E177" s="58"/>
      <c r="F177" s="59">
        <v>9495.2999999999993</v>
      </c>
      <c r="G177" s="54"/>
      <c r="H177" s="201">
        <v>5211</v>
      </c>
      <c r="I177" s="59">
        <v>6784.75</v>
      </c>
      <c r="J177" s="54"/>
      <c r="K177" s="201">
        <v>4545</v>
      </c>
      <c r="L177" s="59">
        <f>ROUND((K177+H177)/2,0)</f>
        <v>4878</v>
      </c>
      <c r="M177" s="54"/>
      <c r="N177" s="201">
        <f>K177*0.8</f>
        <v>3636</v>
      </c>
      <c r="O177" s="59">
        <f>ROUND((N177+K177)/2,0)</f>
        <v>4091</v>
      </c>
      <c r="P177" s="54"/>
      <c r="Q177" s="202">
        <v>3975</v>
      </c>
      <c r="R177" s="59">
        <f>O177</f>
        <v>4091</v>
      </c>
      <c r="S177" s="54"/>
      <c r="T177" s="201">
        <f>Q177*0.95</f>
        <v>3776.25</v>
      </c>
      <c r="U177" s="59">
        <f>ROUND((T177+Q177)/2,0)</f>
        <v>3876</v>
      </c>
      <c r="V177" s="54"/>
      <c r="W177" s="201">
        <f>T177*0.8</f>
        <v>3021</v>
      </c>
      <c r="X177" s="59">
        <f>ROUND((W177+T177)/2,0)</f>
        <v>3399</v>
      </c>
      <c r="Y177" s="54"/>
      <c r="Z177" s="201">
        <f>W177*0.8</f>
        <v>2416.8000000000002</v>
      </c>
      <c r="AA177" s="59">
        <f>ROUND((Z177+W177)/2,0)</f>
        <v>2719</v>
      </c>
      <c r="AB177" s="54"/>
      <c r="AC177" s="201">
        <f>Z177*0.8</f>
        <v>1933.4400000000003</v>
      </c>
      <c r="AD177" s="59">
        <f>ROUND((AC177+Z177)/2,0)</f>
        <v>2175</v>
      </c>
      <c r="AE177" s="54"/>
      <c r="AF177" s="201">
        <f>AC177*0.8</f>
        <v>1546.7520000000004</v>
      </c>
      <c r="AG177" s="59">
        <f>ROUND((AF177+AC177)/2,0)</f>
        <v>1740</v>
      </c>
      <c r="AH177" s="178"/>
      <c r="AI177" s="203">
        <f t="shared" ref="AI177:AJ185" si="227">AC177-AU177</f>
        <v>0</v>
      </c>
      <c r="AJ177" s="59">
        <f t="shared" si="227"/>
        <v>0</v>
      </c>
      <c r="AK177" s="54"/>
      <c r="AL177" s="201">
        <f t="shared" ref="AL177:AM185" si="228">AF177-AX177</f>
        <v>0</v>
      </c>
      <c r="AM177" s="59">
        <f t="shared" si="228"/>
        <v>0</v>
      </c>
      <c r="AN177" s="54"/>
      <c r="AO177" s="203">
        <f t="shared" ref="AO177:AP185" si="229">AC177-BA177</f>
        <v>0</v>
      </c>
      <c r="AP177" s="59">
        <f t="shared" si="229"/>
        <v>0</v>
      </c>
      <c r="AQ177" s="54"/>
      <c r="AR177" s="201">
        <f t="shared" ref="AR177:AS185" si="230">AF177-BD177</f>
        <v>0</v>
      </c>
      <c r="AS177" s="59">
        <f t="shared" si="230"/>
        <v>0</v>
      </c>
      <c r="AT177" s="178"/>
      <c r="AU177" s="203">
        <v>1933.4400000000003</v>
      </c>
      <c r="AV177" s="59">
        <v>2175</v>
      </c>
      <c r="AW177" s="54"/>
      <c r="AX177" s="201">
        <v>1546.7520000000004</v>
      </c>
      <c r="AY177" s="59">
        <v>1740</v>
      </c>
      <c r="AZ177" s="178"/>
      <c r="BA177" s="203">
        <v>1933.4400000000003</v>
      </c>
      <c r="BB177" s="59">
        <v>2175</v>
      </c>
      <c r="BC177" s="54"/>
      <c r="BD177" s="201">
        <v>1546.7520000000004</v>
      </c>
      <c r="BE177" s="59">
        <v>1740</v>
      </c>
      <c r="BF177" s="178"/>
      <c r="BG177" s="178"/>
      <c r="BH177" s="178"/>
      <c r="BI177" s="178"/>
      <c r="BJ177" s="178"/>
    </row>
    <row r="178" spans="1:62" hidden="1" outlineLevel="1" x14ac:dyDescent="0.4">
      <c r="C178" s="56" t="s">
        <v>18</v>
      </c>
      <c r="D178" s="57"/>
      <c r="E178" s="58"/>
      <c r="F178" s="59">
        <v>600</v>
      </c>
      <c r="G178" s="54"/>
      <c r="H178" s="201">
        <v>430</v>
      </c>
      <c r="I178" s="59">
        <v>460</v>
      </c>
      <c r="J178" s="54"/>
      <c r="K178" s="201">
        <v>389</v>
      </c>
      <c r="L178" s="59">
        <f t="shared" ref="L178:L184" si="231">ROUND((K178+H178)/2,0)</f>
        <v>410</v>
      </c>
      <c r="M178" s="54"/>
      <c r="N178" s="201">
        <f t="shared" ref="N178:N179" si="232">K178*0.8</f>
        <v>311.20000000000005</v>
      </c>
      <c r="O178" s="59">
        <f t="shared" ref="O178:O184" si="233">ROUND((N178+K178)/2,0)</f>
        <v>350</v>
      </c>
      <c r="P178" s="54"/>
      <c r="Q178" s="202">
        <v>396</v>
      </c>
      <c r="R178" s="59">
        <f t="shared" ref="R178:R184" si="234">O178</f>
        <v>350</v>
      </c>
      <c r="S178" s="54"/>
      <c r="T178" s="201">
        <f t="shared" ref="T178:T179" si="235">Q178*0.95</f>
        <v>376.2</v>
      </c>
      <c r="U178" s="59">
        <f t="shared" ref="U178:U183" si="236">ROUND((T178+Q178)/2,0)</f>
        <v>386</v>
      </c>
      <c r="V178" s="54"/>
      <c r="W178" s="201">
        <f t="shared" ref="W178:W179" si="237">T178*0.8</f>
        <v>300.95999999999998</v>
      </c>
      <c r="X178" s="59">
        <f t="shared" ref="X178:X184" si="238">ROUND((W178+T178)/2,0)</f>
        <v>339</v>
      </c>
      <c r="Y178" s="54"/>
      <c r="Z178" s="201">
        <f t="shared" ref="Z178:Z179" si="239">W178*0.8</f>
        <v>240.768</v>
      </c>
      <c r="AA178" s="59">
        <f t="shared" ref="AA178:AA184" si="240">ROUND((Z178+W178)/2,0)</f>
        <v>271</v>
      </c>
      <c r="AB178" s="54"/>
      <c r="AC178" s="201">
        <f t="shared" ref="AC178:AC179" si="241">Z178*0.8</f>
        <v>192.61440000000002</v>
      </c>
      <c r="AD178" s="59">
        <f t="shared" ref="AD178:AD184" si="242">ROUND((AC178+Z178)/2,0)</f>
        <v>217</v>
      </c>
      <c r="AE178" s="54"/>
      <c r="AF178" s="201">
        <f t="shared" ref="AF178:AF179" si="243">AC178*0.8</f>
        <v>154.09152000000003</v>
      </c>
      <c r="AG178" s="59">
        <f t="shared" ref="AG178:AG184" si="244">ROUND((AF178+AC178)/2,0)</f>
        <v>173</v>
      </c>
      <c r="AH178" s="178"/>
      <c r="AI178" s="203">
        <f t="shared" si="227"/>
        <v>0</v>
      </c>
      <c r="AJ178" s="59">
        <f t="shared" si="227"/>
        <v>0</v>
      </c>
      <c r="AK178" s="54"/>
      <c r="AL178" s="201">
        <f t="shared" si="228"/>
        <v>0</v>
      </c>
      <c r="AM178" s="59">
        <f t="shared" si="228"/>
        <v>0</v>
      </c>
      <c r="AN178" s="54"/>
      <c r="AO178" s="203">
        <f t="shared" si="229"/>
        <v>0</v>
      </c>
      <c r="AP178" s="59">
        <f t="shared" si="229"/>
        <v>0</v>
      </c>
      <c r="AQ178" s="54"/>
      <c r="AR178" s="201">
        <f t="shared" si="230"/>
        <v>0</v>
      </c>
      <c r="AS178" s="59">
        <f t="shared" si="230"/>
        <v>0</v>
      </c>
      <c r="AT178" s="178"/>
      <c r="AU178" s="203">
        <v>192.61440000000002</v>
      </c>
      <c r="AV178" s="59">
        <v>217</v>
      </c>
      <c r="AW178" s="54"/>
      <c r="AX178" s="201">
        <v>154.09152000000003</v>
      </c>
      <c r="AY178" s="59">
        <v>173</v>
      </c>
      <c r="AZ178" s="178"/>
      <c r="BA178" s="203">
        <v>192.61440000000002</v>
      </c>
      <c r="BB178" s="59">
        <v>217</v>
      </c>
      <c r="BC178" s="54"/>
      <c r="BD178" s="201">
        <v>154.09152000000003</v>
      </c>
      <c r="BE178" s="59">
        <v>173</v>
      </c>
      <c r="BF178" s="178"/>
      <c r="BG178" s="178"/>
      <c r="BH178" s="178"/>
      <c r="BI178" s="178"/>
      <c r="BJ178" s="178"/>
    </row>
    <row r="179" spans="1:62" hidden="1" outlineLevel="1" x14ac:dyDescent="0.4">
      <c r="C179" s="56" t="s">
        <v>19</v>
      </c>
      <c r="D179" s="57"/>
      <c r="E179" s="58"/>
      <c r="F179" s="59">
        <v>160</v>
      </c>
      <c r="G179" s="54"/>
      <c r="H179" s="201">
        <v>141</v>
      </c>
      <c r="I179" s="59">
        <v>150</v>
      </c>
      <c r="J179" s="54"/>
      <c r="K179" s="201">
        <v>138</v>
      </c>
      <c r="L179" s="59">
        <f t="shared" si="231"/>
        <v>140</v>
      </c>
      <c r="M179" s="54"/>
      <c r="N179" s="201">
        <f t="shared" si="232"/>
        <v>110.4</v>
      </c>
      <c r="O179" s="59">
        <f t="shared" si="233"/>
        <v>124</v>
      </c>
      <c r="P179" s="54"/>
      <c r="Q179" s="202">
        <v>118</v>
      </c>
      <c r="R179" s="59">
        <f t="shared" si="234"/>
        <v>124</v>
      </c>
      <c r="S179" s="54"/>
      <c r="T179" s="201">
        <f t="shared" si="235"/>
        <v>112.1</v>
      </c>
      <c r="U179" s="59">
        <f t="shared" si="236"/>
        <v>115</v>
      </c>
      <c r="V179" s="54"/>
      <c r="W179" s="201">
        <f t="shared" si="237"/>
        <v>89.68</v>
      </c>
      <c r="X179" s="59">
        <f t="shared" si="238"/>
        <v>101</v>
      </c>
      <c r="Y179" s="54"/>
      <c r="Z179" s="201">
        <f t="shared" si="239"/>
        <v>71.744000000000014</v>
      </c>
      <c r="AA179" s="59">
        <f t="shared" si="240"/>
        <v>81</v>
      </c>
      <c r="AB179" s="54"/>
      <c r="AC179" s="201">
        <f t="shared" si="241"/>
        <v>57.395200000000017</v>
      </c>
      <c r="AD179" s="59">
        <f t="shared" si="242"/>
        <v>65</v>
      </c>
      <c r="AE179" s="54"/>
      <c r="AF179" s="201">
        <f t="shared" si="243"/>
        <v>45.916160000000019</v>
      </c>
      <c r="AG179" s="59">
        <f t="shared" si="244"/>
        <v>52</v>
      </c>
      <c r="AH179" s="178"/>
      <c r="AI179" s="203">
        <f t="shared" si="227"/>
        <v>0</v>
      </c>
      <c r="AJ179" s="59">
        <f t="shared" si="227"/>
        <v>0</v>
      </c>
      <c r="AK179" s="54"/>
      <c r="AL179" s="201">
        <f t="shared" si="228"/>
        <v>0</v>
      </c>
      <c r="AM179" s="59">
        <f t="shared" si="228"/>
        <v>0</v>
      </c>
      <c r="AN179" s="54"/>
      <c r="AO179" s="203">
        <f t="shared" si="229"/>
        <v>0</v>
      </c>
      <c r="AP179" s="59">
        <f t="shared" si="229"/>
        <v>0</v>
      </c>
      <c r="AQ179" s="54"/>
      <c r="AR179" s="201">
        <f t="shared" si="230"/>
        <v>0</v>
      </c>
      <c r="AS179" s="59">
        <f t="shared" si="230"/>
        <v>0</v>
      </c>
      <c r="AT179" s="178"/>
      <c r="AU179" s="203">
        <v>57.395200000000017</v>
      </c>
      <c r="AV179" s="59">
        <v>65</v>
      </c>
      <c r="AW179" s="54"/>
      <c r="AX179" s="201">
        <v>45.916160000000019</v>
      </c>
      <c r="AY179" s="59">
        <v>52</v>
      </c>
      <c r="AZ179" s="178"/>
      <c r="BA179" s="203">
        <v>57.395200000000017</v>
      </c>
      <c r="BB179" s="59">
        <v>65</v>
      </c>
      <c r="BC179" s="54"/>
      <c r="BD179" s="201">
        <v>45.916160000000019</v>
      </c>
      <c r="BE179" s="59">
        <v>52</v>
      </c>
      <c r="BF179" s="178"/>
      <c r="BG179" s="178"/>
      <c r="BH179" s="178"/>
      <c r="BI179" s="178"/>
      <c r="BJ179" s="178"/>
    </row>
    <row r="180" spans="1:62" hidden="1" outlineLevel="1" x14ac:dyDescent="0.4">
      <c r="C180" s="56" t="s">
        <v>20</v>
      </c>
      <c r="D180" s="57"/>
      <c r="E180" s="58"/>
      <c r="F180" s="59">
        <v>0</v>
      </c>
      <c r="G180" s="54"/>
      <c r="H180" s="201">
        <v>2</v>
      </c>
      <c r="I180" s="59">
        <v>0</v>
      </c>
      <c r="J180" s="54"/>
      <c r="K180" s="201">
        <v>0</v>
      </c>
      <c r="L180" s="59">
        <f t="shared" si="231"/>
        <v>1</v>
      </c>
      <c r="M180" s="54"/>
      <c r="N180" s="201">
        <v>0</v>
      </c>
      <c r="O180" s="59">
        <f t="shared" si="233"/>
        <v>0</v>
      </c>
      <c r="P180" s="54"/>
      <c r="Q180" s="202"/>
      <c r="R180" s="59">
        <f t="shared" si="234"/>
        <v>0</v>
      </c>
      <c r="S180" s="54"/>
      <c r="T180" s="201">
        <v>0</v>
      </c>
      <c r="U180" s="59">
        <f t="shared" si="236"/>
        <v>0</v>
      </c>
      <c r="V180" s="54"/>
      <c r="W180" s="201">
        <v>0</v>
      </c>
      <c r="X180" s="59">
        <f t="shared" si="238"/>
        <v>0</v>
      </c>
      <c r="Y180" s="54"/>
      <c r="Z180" s="201">
        <v>0</v>
      </c>
      <c r="AA180" s="59">
        <f t="shared" si="240"/>
        <v>0</v>
      </c>
      <c r="AB180" s="54"/>
      <c r="AC180" s="201">
        <v>0</v>
      </c>
      <c r="AD180" s="59">
        <f t="shared" si="242"/>
        <v>0</v>
      </c>
      <c r="AE180" s="54"/>
      <c r="AF180" s="201">
        <v>0</v>
      </c>
      <c r="AG180" s="59">
        <f t="shared" si="244"/>
        <v>0</v>
      </c>
      <c r="AH180" s="178"/>
      <c r="AI180" s="203">
        <f t="shared" si="227"/>
        <v>0</v>
      </c>
      <c r="AJ180" s="59">
        <f t="shared" si="227"/>
        <v>0</v>
      </c>
      <c r="AK180" s="54"/>
      <c r="AL180" s="201">
        <f t="shared" si="228"/>
        <v>0</v>
      </c>
      <c r="AM180" s="59">
        <f t="shared" si="228"/>
        <v>0</v>
      </c>
      <c r="AN180" s="54"/>
      <c r="AO180" s="203">
        <f t="shared" si="229"/>
        <v>0</v>
      </c>
      <c r="AP180" s="59">
        <f t="shared" si="229"/>
        <v>0</v>
      </c>
      <c r="AQ180" s="54"/>
      <c r="AR180" s="201">
        <f t="shared" si="230"/>
        <v>0</v>
      </c>
      <c r="AS180" s="59">
        <f t="shared" si="230"/>
        <v>0</v>
      </c>
      <c r="AT180" s="178"/>
      <c r="AU180" s="203">
        <v>0</v>
      </c>
      <c r="AV180" s="59">
        <v>0</v>
      </c>
      <c r="AW180" s="54"/>
      <c r="AX180" s="201">
        <v>0</v>
      </c>
      <c r="AY180" s="59">
        <v>0</v>
      </c>
      <c r="AZ180" s="178"/>
      <c r="BA180" s="203">
        <v>0</v>
      </c>
      <c r="BB180" s="59">
        <v>0</v>
      </c>
      <c r="BC180" s="54"/>
      <c r="BD180" s="201">
        <v>0</v>
      </c>
      <c r="BE180" s="59">
        <v>0</v>
      </c>
      <c r="BF180" s="178"/>
      <c r="BG180" s="178"/>
      <c r="BH180" s="178"/>
      <c r="BI180" s="178"/>
      <c r="BJ180" s="178"/>
    </row>
    <row r="181" spans="1:62" hidden="1" outlineLevel="1" x14ac:dyDescent="0.4">
      <c r="C181" s="56" t="s">
        <v>21</v>
      </c>
      <c r="D181" s="57"/>
      <c r="E181" s="58"/>
      <c r="F181" s="59">
        <v>1</v>
      </c>
      <c r="G181" s="54"/>
      <c r="H181" s="201">
        <v>1</v>
      </c>
      <c r="I181" s="59">
        <v>1</v>
      </c>
      <c r="J181" s="54"/>
      <c r="K181" s="201">
        <v>1</v>
      </c>
      <c r="L181" s="59">
        <f t="shared" si="231"/>
        <v>1</v>
      </c>
      <c r="M181" s="54"/>
      <c r="N181" s="201">
        <v>1</v>
      </c>
      <c r="O181" s="59">
        <f t="shared" si="233"/>
        <v>1</v>
      </c>
      <c r="P181" s="54"/>
      <c r="Q181" s="202">
        <v>1</v>
      </c>
      <c r="R181" s="59">
        <f t="shared" si="234"/>
        <v>1</v>
      </c>
      <c r="S181" s="54"/>
      <c r="T181" s="201">
        <v>1</v>
      </c>
      <c r="U181" s="59">
        <f t="shared" si="236"/>
        <v>1</v>
      </c>
      <c r="V181" s="54"/>
      <c r="W181" s="201">
        <v>1</v>
      </c>
      <c r="X181" s="59">
        <f t="shared" si="238"/>
        <v>1</v>
      </c>
      <c r="Y181" s="54"/>
      <c r="Z181" s="201">
        <v>1</v>
      </c>
      <c r="AA181" s="59">
        <f t="shared" si="240"/>
        <v>1</v>
      </c>
      <c r="AB181" s="54"/>
      <c r="AC181" s="201">
        <v>1</v>
      </c>
      <c r="AD181" s="59">
        <f t="shared" si="242"/>
        <v>1</v>
      </c>
      <c r="AE181" s="54"/>
      <c r="AF181" s="201">
        <v>1</v>
      </c>
      <c r="AG181" s="59">
        <f t="shared" si="244"/>
        <v>1</v>
      </c>
      <c r="AH181" s="178"/>
      <c r="AI181" s="203">
        <f t="shared" si="227"/>
        <v>0</v>
      </c>
      <c r="AJ181" s="59">
        <f t="shared" si="227"/>
        <v>0</v>
      </c>
      <c r="AK181" s="54"/>
      <c r="AL181" s="201">
        <f t="shared" si="228"/>
        <v>0</v>
      </c>
      <c r="AM181" s="59">
        <f t="shared" si="228"/>
        <v>0</v>
      </c>
      <c r="AN181" s="54"/>
      <c r="AO181" s="203">
        <f t="shared" si="229"/>
        <v>0</v>
      </c>
      <c r="AP181" s="59">
        <f t="shared" si="229"/>
        <v>0</v>
      </c>
      <c r="AQ181" s="54"/>
      <c r="AR181" s="201">
        <f t="shared" si="230"/>
        <v>0</v>
      </c>
      <c r="AS181" s="59">
        <f t="shared" si="230"/>
        <v>0</v>
      </c>
      <c r="AT181" s="178"/>
      <c r="AU181" s="203">
        <v>1</v>
      </c>
      <c r="AV181" s="59">
        <v>1</v>
      </c>
      <c r="AW181" s="54"/>
      <c r="AX181" s="201">
        <v>1</v>
      </c>
      <c r="AY181" s="59">
        <v>1</v>
      </c>
      <c r="AZ181" s="178"/>
      <c r="BA181" s="203">
        <v>1</v>
      </c>
      <c r="BB181" s="59">
        <v>1</v>
      </c>
      <c r="BC181" s="54"/>
      <c r="BD181" s="201">
        <v>1</v>
      </c>
      <c r="BE181" s="59">
        <v>1</v>
      </c>
      <c r="BF181" s="178"/>
      <c r="BG181" s="178"/>
      <c r="BH181" s="178"/>
      <c r="BI181" s="178"/>
      <c r="BJ181" s="178"/>
    </row>
    <row r="182" spans="1:62" hidden="1" outlineLevel="1" x14ac:dyDescent="0.4">
      <c r="C182" s="56" t="s">
        <v>22</v>
      </c>
      <c r="D182" s="57"/>
      <c r="E182" s="58"/>
      <c r="F182" s="59">
        <v>12761.899782618997</v>
      </c>
      <c r="G182" s="54"/>
      <c r="H182" s="201">
        <f>I24</f>
        <v>12221.75</v>
      </c>
      <c r="I182" s="59">
        <f>I24</f>
        <v>12221.75</v>
      </c>
      <c r="J182" s="54"/>
      <c r="K182" s="201">
        <f>L24</f>
        <v>12328</v>
      </c>
      <c r="L182" s="59">
        <f t="shared" si="231"/>
        <v>12275</v>
      </c>
      <c r="M182" s="54"/>
      <c r="N182" s="201">
        <v>12423</v>
      </c>
      <c r="O182" s="59">
        <f t="shared" si="233"/>
        <v>12376</v>
      </c>
      <c r="P182" s="54"/>
      <c r="Q182" s="202"/>
      <c r="R182" s="59">
        <f t="shared" si="234"/>
        <v>12376</v>
      </c>
      <c r="S182" s="54"/>
      <c r="T182" s="201">
        <f>U24</f>
        <v>12709.846964330369</v>
      </c>
      <c r="U182" s="59">
        <f t="shared" si="236"/>
        <v>6355</v>
      </c>
      <c r="V182" s="54"/>
      <c r="W182" s="201">
        <f>X24</f>
        <v>12960.023254578835</v>
      </c>
      <c r="X182" s="59">
        <f t="shared" si="238"/>
        <v>12835</v>
      </c>
      <c r="Y182" s="54"/>
      <c r="Z182" s="201">
        <f>AA24</f>
        <v>13215.123929548703</v>
      </c>
      <c r="AA182" s="59">
        <f t="shared" si="240"/>
        <v>13088</v>
      </c>
      <c r="AB182" s="54"/>
      <c r="AC182" s="201">
        <f>AD24</f>
        <v>13466.045919148317</v>
      </c>
      <c r="AD182" s="59">
        <f t="shared" si="242"/>
        <v>13341</v>
      </c>
      <c r="AE182" s="54"/>
      <c r="AF182" s="201">
        <f>AG24</f>
        <v>13721.988061221264</v>
      </c>
      <c r="AG182" s="59">
        <f t="shared" si="244"/>
        <v>13594</v>
      </c>
      <c r="AH182" s="178"/>
      <c r="AI182" s="203">
        <f t="shared" si="227"/>
        <v>-6.1728538368552108</v>
      </c>
      <c r="AJ182" s="59">
        <f t="shared" si="227"/>
        <v>-3</v>
      </c>
      <c r="AK182" s="54"/>
      <c r="AL182" s="201">
        <f t="shared" si="228"/>
        <v>-15.207511083097415</v>
      </c>
      <c r="AM182" s="59">
        <f t="shared" si="228"/>
        <v>-11</v>
      </c>
      <c r="AN182" s="54"/>
      <c r="AO182" s="203">
        <f t="shared" si="229"/>
        <v>-9.2000000000007276</v>
      </c>
      <c r="AP182" s="59">
        <f t="shared" si="229"/>
        <v>-4</v>
      </c>
      <c r="AQ182" s="54"/>
      <c r="AR182" s="201">
        <f t="shared" si="230"/>
        <v>-18.5</v>
      </c>
      <c r="AS182" s="59">
        <f t="shared" si="230"/>
        <v>-14</v>
      </c>
      <c r="AT182" s="178"/>
      <c r="AU182" s="203">
        <v>13472.218772985172</v>
      </c>
      <c r="AV182" s="59">
        <v>13344</v>
      </c>
      <c r="AW182" s="54"/>
      <c r="AX182" s="201">
        <v>13737.195572304361</v>
      </c>
      <c r="AY182" s="59">
        <v>13605</v>
      </c>
      <c r="AZ182" s="178"/>
      <c r="BA182" s="203">
        <v>13475.245919148318</v>
      </c>
      <c r="BB182" s="59">
        <v>13345</v>
      </c>
      <c r="BC182" s="54"/>
      <c r="BD182" s="201">
        <v>13740.488061221264</v>
      </c>
      <c r="BE182" s="59">
        <v>13608</v>
      </c>
      <c r="BF182" s="178"/>
      <c r="BG182" s="178"/>
      <c r="BH182" s="178"/>
      <c r="BI182" s="178"/>
      <c r="BJ182" s="178"/>
    </row>
    <row r="183" spans="1:62" hidden="1" outlineLevel="1" x14ac:dyDescent="0.4">
      <c r="C183" s="56" t="s">
        <v>23</v>
      </c>
      <c r="D183" s="57"/>
      <c r="E183" s="58"/>
      <c r="F183" s="59">
        <v>0</v>
      </c>
      <c r="G183" s="54"/>
      <c r="H183" s="201">
        <v>0</v>
      </c>
      <c r="I183" s="59">
        <v>0</v>
      </c>
      <c r="J183" s="54"/>
      <c r="K183" s="201">
        <v>1</v>
      </c>
      <c r="L183" s="59">
        <f t="shared" si="231"/>
        <v>1</v>
      </c>
      <c r="M183" s="54"/>
      <c r="N183" s="201">
        <v>1</v>
      </c>
      <c r="O183" s="59">
        <f t="shared" si="233"/>
        <v>1</v>
      </c>
      <c r="P183" s="54"/>
      <c r="Q183" s="202">
        <v>1</v>
      </c>
      <c r="R183" s="59">
        <f t="shared" si="234"/>
        <v>1</v>
      </c>
      <c r="S183" s="54"/>
      <c r="T183" s="201">
        <v>1</v>
      </c>
      <c r="U183" s="59">
        <f t="shared" si="236"/>
        <v>1</v>
      </c>
      <c r="V183" s="54"/>
      <c r="W183" s="201">
        <v>1</v>
      </c>
      <c r="X183" s="59">
        <f t="shared" si="238"/>
        <v>1</v>
      </c>
      <c r="Y183" s="54"/>
      <c r="Z183" s="201">
        <v>1</v>
      </c>
      <c r="AA183" s="59">
        <f t="shared" si="240"/>
        <v>1</v>
      </c>
      <c r="AB183" s="54"/>
      <c r="AC183" s="201">
        <v>1</v>
      </c>
      <c r="AD183" s="59">
        <f t="shared" si="242"/>
        <v>1</v>
      </c>
      <c r="AE183" s="54"/>
      <c r="AF183" s="201">
        <v>1</v>
      </c>
      <c r="AG183" s="59">
        <f t="shared" si="244"/>
        <v>1</v>
      </c>
      <c r="AH183" s="178"/>
      <c r="AI183" s="203">
        <f t="shared" si="227"/>
        <v>0</v>
      </c>
      <c r="AJ183" s="59">
        <f t="shared" si="227"/>
        <v>0</v>
      </c>
      <c r="AK183" s="54"/>
      <c r="AL183" s="201">
        <f t="shared" si="228"/>
        <v>0</v>
      </c>
      <c r="AM183" s="59">
        <f t="shared" si="228"/>
        <v>0</v>
      </c>
      <c r="AN183" s="54"/>
      <c r="AO183" s="203">
        <f t="shared" si="229"/>
        <v>0</v>
      </c>
      <c r="AP183" s="59">
        <f t="shared" si="229"/>
        <v>0</v>
      </c>
      <c r="AQ183" s="54"/>
      <c r="AR183" s="201">
        <f t="shared" si="230"/>
        <v>0</v>
      </c>
      <c r="AS183" s="59">
        <f t="shared" si="230"/>
        <v>0</v>
      </c>
      <c r="AT183" s="178"/>
      <c r="AU183" s="203">
        <v>1</v>
      </c>
      <c r="AV183" s="59">
        <v>1</v>
      </c>
      <c r="AW183" s="54"/>
      <c r="AX183" s="201">
        <v>1</v>
      </c>
      <c r="AY183" s="59">
        <v>1</v>
      </c>
      <c r="AZ183" s="178"/>
      <c r="BA183" s="203">
        <v>1</v>
      </c>
      <c r="BB183" s="59">
        <v>1</v>
      </c>
      <c r="BC183" s="54"/>
      <c r="BD183" s="201">
        <v>1</v>
      </c>
      <c r="BE183" s="59">
        <v>1</v>
      </c>
      <c r="BF183" s="178"/>
      <c r="BG183" s="178"/>
      <c r="BH183" s="178"/>
      <c r="BI183" s="178"/>
      <c r="BJ183" s="178"/>
    </row>
    <row r="184" spans="1:62" hidden="1" outlineLevel="1" x14ac:dyDescent="0.4">
      <c r="C184" s="56" t="s">
        <v>24</v>
      </c>
      <c r="D184" s="57"/>
      <c r="E184" s="58"/>
      <c r="F184" s="59">
        <v>22.307657589073369</v>
      </c>
      <c r="G184" s="54"/>
      <c r="H184" s="201">
        <f>H26</f>
        <v>0</v>
      </c>
      <c r="I184" s="59">
        <f>I26</f>
        <v>0</v>
      </c>
      <c r="J184" s="54"/>
      <c r="K184" s="201">
        <f>L26</f>
        <v>0</v>
      </c>
      <c r="L184" s="59">
        <f t="shared" si="231"/>
        <v>0</v>
      </c>
      <c r="M184" s="54"/>
      <c r="N184" s="201">
        <v>0</v>
      </c>
      <c r="O184" s="59">
        <f t="shared" si="233"/>
        <v>0</v>
      </c>
      <c r="P184" s="54"/>
      <c r="Q184" s="202">
        <v>3</v>
      </c>
      <c r="R184" s="59">
        <f t="shared" si="234"/>
        <v>0</v>
      </c>
      <c r="S184" s="54"/>
      <c r="T184" s="201">
        <f>U26</f>
        <v>23.221124933174856</v>
      </c>
      <c r="U184" s="59">
        <f>T184</f>
        <v>23.221124933174856</v>
      </c>
      <c r="V184" s="54"/>
      <c r="W184" s="201">
        <f>X26</f>
        <v>22.46752679842146</v>
      </c>
      <c r="X184" s="59">
        <f t="shared" si="238"/>
        <v>23</v>
      </c>
      <c r="Y184" s="54"/>
      <c r="Z184" s="201">
        <f>AA26</f>
        <v>21.738385280233285</v>
      </c>
      <c r="AA184" s="59">
        <f t="shared" si="240"/>
        <v>22</v>
      </c>
      <c r="AB184" s="54"/>
      <c r="AC184" s="201">
        <f>AD26</f>
        <v>21.032906684907768</v>
      </c>
      <c r="AD184" s="59">
        <f t="shared" si="242"/>
        <v>21</v>
      </c>
      <c r="AE184" s="54"/>
      <c r="AF184" s="201">
        <f>AG26</f>
        <v>20.350323076585497</v>
      </c>
      <c r="AG184" s="59">
        <f t="shared" si="244"/>
        <v>21</v>
      </c>
      <c r="AH184" s="178"/>
      <c r="AI184" s="203">
        <f t="shared" si="227"/>
        <v>-1.6638540620755435</v>
      </c>
      <c r="AJ184" s="59">
        <f t="shared" si="227"/>
        <v>-1</v>
      </c>
      <c r="AK184" s="54"/>
      <c r="AL184" s="201">
        <f t="shared" si="228"/>
        <v>-1.7216012565861085</v>
      </c>
      <c r="AM184" s="59">
        <f t="shared" si="228"/>
        <v>-1</v>
      </c>
      <c r="AN184" s="54"/>
      <c r="AO184" s="203">
        <f t="shared" si="229"/>
        <v>0</v>
      </c>
      <c r="AP184" s="59">
        <f t="shared" si="229"/>
        <v>0</v>
      </c>
      <c r="AQ184" s="54"/>
      <c r="AR184" s="201">
        <f t="shared" si="230"/>
        <v>0</v>
      </c>
      <c r="AS184" s="59">
        <f t="shared" si="230"/>
        <v>0</v>
      </c>
      <c r="AT184" s="178"/>
      <c r="AU184" s="203">
        <v>22.696760746983312</v>
      </c>
      <c r="AV184" s="59">
        <v>22</v>
      </c>
      <c r="AW184" s="54"/>
      <c r="AX184" s="201">
        <v>22.071924333171605</v>
      </c>
      <c r="AY184" s="59">
        <v>22</v>
      </c>
      <c r="AZ184" s="178"/>
      <c r="BA184" s="203">
        <v>21.032906684907768</v>
      </c>
      <c r="BB184" s="59">
        <v>21</v>
      </c>
      <c r="BC184" s="54"/>
      <c r="BD184" s="201">
        <v>20.350323076585497</v>
      </c>
      <c r="BE184" s="59">
        <v>21</v>
      </c>
      <c r="BF184" s="178"/>
      <c r="BG184" s="178"/>
      <c r="BH184" s="178"/>
      <c r="BI184" s="178"/>
      <c r="BJ184" s="178"/>
    </row>
    <row r="185" spans="1:62" hidden="1" outlineLevel="1" x14ac:dyDescent="0.4">
      <c r="C185" s="64" t="s">
        <v>25</v>
      </c>
      <c r="D185" s="65"/>
      <c r="E185" s="63"/>
      <c r="F185" s="66">
        <f>SUM(F177:F184)</f>
        <v>23040.507440208072</v>
      </c>
      <c r="G185" s="54"/>
      <c r="H185" s="131">
        <f>SUM(H177:H184)</f>
        <v>18006.75</v>
      </c>
      <c r="I185" s="66">
        <f>SUM(I177:I184)</f>
        <v>19617.5</v>
      </c>
      <c r="J185" s="54"/>
      <c r="K185" s="131">
        <f>SUM(K177:K184)</f>
        <v>17402</v>
      </c>
      <c r="L185" s="66">
        <f>SUM(L177:L184)</f>
        <v>17706</v>
      </c>
      <c r="M185" s="54"/>
      <c r="N185" s="131">
        <f>SUM(N177:N184)</f>
        <v>16482.599999999999</v>
      </c>
      <c r="O185" s="66">
        <f>SUM(O177:O184)</f>
        <v>16943</v>
      </c>
      <c r="P185" s="54"/>
      <c r="Q185" s="131">
        <f>SUM(Q177:Q184)</f>
        <v>4494</v>
      </c>
      <c r="R185" s="66">
        <f>SUM(R177:R184)</f>
        <v>16943</v>
      </c>
      <c r="S185" s="54"/>
      <c r="T185" s="131">
        <f>SUM(T177:T184)</f>
        <v>16999.618089263542</v>
      </c>
      <c r="U185" s="66">
        <f>SUM(U177:U184)</f>
        <v>10757.221124933174</v>
      </c>
      <c r="V185" s="54"/>
      <c r="W185" s="131">
        <f>SUM(W177:W184)</f>
        <v>16396.130781377255</v>
      </c>
      <c r="X185" s="66">
        <f>SUM(X177:X184)</f>
        <v>16699</v>
      </c>
      <c r="Y185" s="54"/>
      <c r="Z185" s="131">
        <f>SUM(Z177:Z184)</f>
        <v>15968.174314828937</v>
      </c>
      <c r="AA185" s="66">
        <f>SUM(AA177:AA184)</f>
        <v>16183</v>
      </c>
      <c r="AB185" s="54"/>
      <c r="AC185" s="131">
        <f>SUM(AC177:AC184)</f>
        <v>15672.528425833225</v>
      </c>
      <c r="AD185" s="66">
        <f>SUM(AD177:AD184)</f>
        <v>15821</v>
      </c>
      <c r="AE185" s="54"/>
      <c r="AF185" s="131">
        <f>SUM(AF177:AF184)</f>
        <v>15491.09806429785</v>
      </c>
      <c r="AG185" s="66">
        <f>SUM(AG177:AG184)</f>
        <v>15582</v>
      </c>
      <c r="AH185" s="178"/>
      <c r="AI185" s="133">
        <f t="shared" si="227"/>
        <v>-7.8367078989303991</v>
      </c>
      <c r="AJ185" s="66">
        <f t="shared" si="227"/>
        <v>-4</v>
      </c>
      <c r="AK185" s="54"/>
      <c r="AL185" s="131">
        <f t="shared" si="228"/>
        <v>-16.929112339683343</v>
      </c>
      <c r="AM185" s="66">
        <f t="shared" si="228"/>
        <v>-12</v>
      </c>
      <c r="AN185" s="54"/>
      <c r="AO185" s="133">
        <f t="shared" si="229"/>
        <v>-9.2000000000007276</v>
      </c>
      <c r="AP185" s="66">
        <f t="shared" si="229"/>
        <v>-4</v>
      </c>
      <c r="AQ185" s="54"/>
      <c r="AR185" s="131">
        <f t="shared" si="230"/>
        <v>-18.5</v>
      </c>
      <c r="AS185" s="66">
        <f t="shared" si="230"/>
        <v>-14</v>
      </c>
      <c r="AT185" s="178"/>
      <c r="AU185" s="133">
        <v>15680.365133732155</v>
      </c>
      <c r="AV185" s="66">
        <v>15825</v>
      </c>
      <c r="AW185" s="54"/>
      <c r="AX185" s="131">
        <v>15508.027176637534</v>
      </c>
      <c r="AY185" s="66">
        <v>15594</v>
      </c>
      <c r="AZ185" s="178"/>
      <c r="BA185" s="133">
        <v>15681.728425833226</v>
      </c>
      <c r="BB185" s="66">
        <v>15825</v>
      </c>
      <c r="BC185" s="54"/>
      <c r="BD185" s="131">
        <v>15509.59806429785</v>
      </c>
      <c r="BE185" s="66">
        <v>15596</v>
      </c>
      <c r="BF185" s="178"/>
      <c r="BG185" s="178"/>
      <c r="BH185" s="178"/>
      <c r="BI185" s="178"/>
      <c r="BJ185" s="178"/>
    </row>
    <row r="186" spans="1:62" s="128" customFormat="1" hidden="1" outlineLevel="1" x14ac:dyDescent="0.4">
      <c r="A186" s="126"/>
      <c r="B186" s="127"/>
      <c r="C186" s="56"/>
      <c r="D186" s="57"/>
      <c r="E186" s="58"/>
      <c r="F186" s="71"/>
      <c r="G186" s="72"/>
      <c r="H186" s="20"/>
      <c r="I186" s="71"/>
      <c r="J186" s="72"/>
      <c r="K186" s="20"/>
      <c r="L186" s="71"/>
      <c r="M186" s="72"/>
      <c r="N186" s="20"/>
      <c r="O186" s="71"/>
      <c r="P186" s="72"/>
      <c r="Q186" s="20"/>
      <c r="R186" s="71"/>
      <c r="S186" s="72"/>
      <c r="T186" s="20"/>
      <c r="U186" s="71"/>
      <c r="V186" s="72"/>
      <c r="W186" s="20"/>
      <c r="X186" s="71"/>
      <c r="Y186" s="72"/>
      <c r="Z186" s="20"/>
      <c r="AA186" s="71"/>
      <c r="AB186" s="72"/>
      <c r="AC186" s="20"/>
      <c r="AD186" s="71"/>
      <c r="AE186" s="72"/>
      <c r="AF186" s="20"/>
      <c r="AG186" s="71"/>
      <c r="AH186" s="178"/>
      <c r="AI186" s="69"/>
      <c r="AJ186" s="71"/>
      <c r="AK186" s="72"/>
      <c r="AL186" s="20"/>
      <c r="AM186" s="71"/>
      <c r="AN186" s="72"/>
      <c r="AO186" s="69"/>
      <c r="AP186" s="71"/>
      <c r="AQ186" s="72"/>
      <c r="AR186" s="20"/>
      <c r="AS186" s="71"/>
      <c r="AT186" s="178"/>
      <c r="AU186" s="69"/>
      <c r="AV186" s="71"/>
      <c r="AW186" s="72"/>
      <c r="AX186" s="20"/>
      <c r="AY186" s="71"/>
      <c r="AZ186" s="178"/>
      <c r="BA186" s="69"/>
      <c r="BB186" s="71"/>
      <c r="BC186" s="72"/>
      <c r="BD186" s="20"/>
      <c r="BE186" s="71"/>
      <c r="BF186" s="178"/>
      <c r="BG186" s="178"/>
      <c r="BH186" s="178"/>
      <c r="BI186" s="178"/>
      <c r="BJ186" s="178"/>
    </row>
    <row r="187" spans="1:62" s="128" customFormat="1" hidden="1" outlineLevel="1" x14ac:dyDescent="0.4">
      <c r="A187" s="126"/>
      <c r="B187" s="127"/>
      <c r="C187" s="56"/>
      <c r="D187" s="57"/>
      <c r="E187" s="58"/>
      <c r="F187" s="71"/>
      <c r="G187" s="72"/>
      <c r="H187" s="60"/>
      <c r="I187" s="71"/>
      <c r="J187" s="72"/>
      <c r="K187" s="60"/>
      <c r="L187" s="71"/>
      <c r="M187" s="72"/>
      <c r="N187" s="60"/>
      <c r="O187" s="71"/>
      <c r="P187" s="72"/>
      <c r="Q187" s="60"/>
      <c r="R187" s="71"/>
      <c r="S187" s="72"/>
      <c r="T187" s="60"/>
      <c r="U187" s="71"/>
      <c r="V187" s="72"/>
      <c r="W187" s="60"/>
      <c r="X187" s="71"/>
      <c r="Y187" s="72"/>
      <c r="Z187" s="60"/>
      <c r="AA187" s="71"/>
      <c r="AB187" s="72"/>
      <c r="AC187" s="60"/>
      <c r="AD187" s="71"/>
      <c r="AE187" s="72"/>
      <c r="AF187" s="60"/>
      <c r="AG187" s="71"/>
      <c r="AH187" s="178"/>
      <c r="AI187" s="62"/>
      <c r="AJ187" s="71"/>
      <c r="AK187" s="72"/>
      <c r="AL187" s="60"/>
      <c r="AM187" s="71"/>
      <c r="AN187" s="72"/>
      <c r="AO187" s="62"/>
      <c r="AP187" s="71"/>
      <c r="AQ187" s="72"/>
      <c r="AR187" s="60"/>
      <c r="AS187" s="71"/>
      <c r="AT187" s="178"/>
      <c r="AU187" s="62"/>
      <c r="AV187" s="71"/>
      <c r="AW187" s="72"/>
      <c r="AX187" s="60"/>
      <c r="AY187" s="71"/>
      <c r="AZ187" s="178"/>
      <c r="BA187" s="62"/>
      <c r="BB187" s="71"/>
      <c r="BC187" s="72"/>
      <c r="BD187" s="60"/>
      <c r="BE187" s="71"/>
      <c r="BF187" s="178"/>
      <c r="BG187" s="178"/>
      <c r="BH187" s="178"/>
      <c r="BI187" s="178"/>
      <c r="BJ187" s="178"/>
    </row>
    <row r="188" spans="1:62" hidden="1" outlineLevel="1" x14ac:dyDescent="0.4">
      <c r="B188" s="103" t="s">
        <v>74</v>
      </c>
      <c r="F188" s="104"/>
      <c r="I188" s="105" t="s">
        <v>12</v>
      </c>
      <c r="K188" s="204" t="s">
        <v>75</v>
      </c>
      <c r="L188" s="105" t="s">
        <v>12</v>
      </c>
      <c r="O188" s="104"/>
      <c r="R188" s="104"/>
      <c r="U188" s="104"/>
      <c r="X188" s="104"/>
      <c r="AA188" s="104"/>
      <c r="AD188" s="104"/>
      <c r="AG188" s="104"/>
      <c r="AH188" s="178"/>
      <c r="AI188" s="22"/>
      <c r="AJ188" s="104"/>
      <c r="AM188" s="104"/>
      <c r="AO188" s="22"/>
      <c r="AP188" s="104"/>
      <c r="AS188" s="104"/>
      <c r="AT188" s="178"/>
      <c r="AU188" s="22"/>
      <c r="AV188" s="104"/>
      <c r="AY188" s="104"/>
      <c r="AZ188" s="178"/>
      <c r="BA188" s="22"/>
      <c r="BB188" s="104"/>
      <c r="BE188" s="104"/>
      <c r="BF188" s="178"/>
      <c r="BG188" s="178"/>
      <c r="BH188" s="178"/>
      <c r="BI188" s="178"/>
      <c r="BJ188" s="178"/>
    </row>
    <row r="189" spans="1:62" hidden="1" outlineLevel="1" x14ac:dyDescent="0.4">
      <c r="C189" s="56" t="s">
        <v>17</v>
      </c>
      <c r="D189" s="57"/>
      <c r="F189" s="112">
        <f t="shared" ref="F189:F196" si="245">0.25*12*(F19-F177)</f>
        <v>121273.27622093871</v>
      </c>
      <c r="G189" s="54"/>
      <c r="H189" s="167"/>
      <c r="I189" s="112">
        <v>129713.32</v>
      </c>
      <c r="J189" s="54"/>
      <c r="K189" s="205">
        <f t="shared" ref="K189:K196" si="246">0.25*12*(L19-L177)</f>
        <v>134027.5</v>
      </c>
      <c r="L189" s="112">
        <v>135370.92000000001</v>
      </c>
      <c r="M189" s="54"/>
      <c r="N189" s="167"/>
      <c r="O189" s="112">
        <f t="shared" ref="O189:O196" si="247">0.25*12*(O19-O177)</f>
        <v>137739</v>
      </c>
      <c r="P189" s="54"/>
      <c r="Q189" s="167"/>
      <c r="R189" s="112">
        <f t="shared" ref="R189:R196" si="248">0.25*12*(R19-R177)</f>
        <v>138336</v>
      </c>
      <c r="S189" s="54"/>
      <c r="T189" s="167"/>
      <c r="U189" s="112">
        <f t="shared" ref="U189:U196" si="249">0.25*12*(U19-U177)</f>
        <v>141303.98222649557</v>
      </c>
      <c r="V189" s="54"/>
      <c r="W189" s="167"/>
      <c r="X189" s="112">
        <f t="shared" ref="X189:X196" si="250">0.25*12*(X19-X177)</f>
        <v>145028.99595877581</v>
      </c>
      <c r="Y189" s="54"/>
      <c r="Z189" s="167"/>
      <c r="AA189" s="112">
        <f t="shared" ref="AA189:AA196" si="251">0.25*12*(AA19-AA177)</f>
        <v>149397.41140942046</v>
      </c>
      <c r="AB189" s="54"/>
      <c r="AC189" s="167"/>
      <c r="AD189" s="112">
        <f t="shared" ref="AD189:AD196" si="252">0.25*12*(AD19-AD177)</f>
        <v>154022.90378735747</v>
      </c>
      <c r="AE189" s="54"/>
      <c r="AF189" s="167"/>
      <c r="AG189" s="112">
        <f t="shared" ref="AG189:AG196" si="253">0.25*12*(AG19-AG177)</f>
        <v>158379.05336529313</v>
      </c>
      <c r="AH189" s="178"/>
      <c r="AI189" s="206"/>
      <c r="AJ189" s="112">
        <f t="shared" ref="AJ189:AJ197" si="254">AD189-AV189</f>
        <v>-890.63117536672507</v>
      </c>
      <c r="AK189" s="54"/>
      <c r="AL189" s="167"/>
      <c r="AM189" s="112">
        <f t="shared" ref="AM189:AM197" si="255">AG189-AY189</f>
        <v>-745.45435550919501</v>
      </c>
      <c r="AN189" s="54"/>
      <c r="AO189" s="206"/>
      <c r="AP189" s="112">
        <f t="shared" ref="AP189:AP197" si="256">AD189-BB189</f>
        <v>-1733.1000000000058</v>
      </c>
      <c r="AQ189" s="54"/>
      <c r="AR189" s="167"/>
      <c r="AS189" s="112">
        <f t="shared" ref="AS189:AS197" si="257">AG189-BE189</f>
        <v>-3550.5</v>
      </c>
      <c r="AT189" s="178"/>
      <c r="AU189" s="206"/>
      <c r="AV189" s="112">
        <v>154913.5349627242</v>
      </c>
      <c r="AW189" s="54"/>
      <c r="AX189" s="167"/>
      <c r="AY189" s="112">
        <v>159124.50772080233</v>
      </c>
      <c r="AZ189" s="178"/>
      <c r="BA189" s="206"/>
      <c r="BB189" s="112">
        <v>155756.00378735748</v>
      </c>
      <c r="BC189" s="54"/>
      <c r="BD189" s="167"/>
      <c r="BE189" s="112">
        <v>161929.55336529313</v>
      </c>
      <c r="BF189" s="178"/>
      <c r="BG189" s="178"/>
      <c r="BH189" s="178"/>
      <c r="BI189" s="178"/>
      <c r="BJ189" s="178"/>
    </row>
    <row r="190" spans="1:62" hidden="1" outlineLevel="1" x14ac:dyDescent="0.4">
      <c r="C190" s="56" t="s">
        <v>18</v>
      </c>
      <c r="D190" s="57"/>
      <c r="F190" s="112">
        <f t="shared" si="245"/>
        <v>10083</v>
      </c>
      <c r="G190" s="54"/>
      <c r="H190" s="167"/>
      <c r="I190" s="112">
        <v>10182.709999999999</v>
      </c>
      <c r="J190" s="54"/>
      <c r="K190" s="205">
        <f t="shared" si="246"/>
        <v>10501.5</v>
      </c>
      <c r="L190" s="112">
        <v>10451.58</v>
      </c>
      <c r="M190" s="54"/>
      <c r="N190" s="167"/>
      <c r="O190" s="112">
        <f t="shared" si="247"/>
        <v>10722</v>
      </c>
      <c r="P190" s="54"/>
      <c r="Q190" s="167"/>
      <c r="R190" s="112">
        <f t="shared" si="248"/>
        <v>10809</v>
      </c>
      <c r="S190" s="54"/>
      <c r="T190" s="167"/>
      <c r="U190" s="112">
        <f t="shared" si="249"/>
        <v>10849.404898767974</v>
      </c>
      <c r="V190" s="54"/>
      <c r="W190" s="167"/>
      <c r="X190" s="112">
        <f t="shared" si="250"/>
        <v>11170.479195884687</v>
      </c>
      <c r="Y190" s="54"/>
      <c r="Z190" s="167"/>
      <c r="AA190" s="112">
        <f t="shared" si="251"/>
        <v>11557.125844705932</v>
      </c>
      <c r="AB190" s="54"/>
      <c r="AC190" s="167"/>
      <c r="AD190" s="112">
        <f t="shared" si="252"/>
        <v>11955.04781716939</v>
      </c>
      <c r="AE190" s="54"/>
      <c r="AF190" s="167"/>
      <c r="AG190" s="112">
        <f t="shared" si="253"/>
        <v>12327.048103911558</v>
      </c>
      <c r="AH190" s="178"/>
      <c r="AI190" s="206"/>
      <c r="AJ190" s="112">
        <f t="shared" si="254"/>
        <v>-57.401122822662728</v>
      </c>
      <c r="AK190" s="54"/>
      <c r="AL190" s="167"/>
      <c r="AM190" s="112">
        <f t="shared" si="255"/>
        <v>-45.28364872671591</v>
      </c>
      <c r="AN190" s="54"/>
      <c r="AO190" s="206"/>
      <c r="AP190" s="112">
        <f t="shared" si="256"/>
        <v>-135.29999999999927</v>
      </c>
      <c r="AQ190" s="54"/>
      <c r="AR190" s="167"/>
      <c r="AS190" s="112">
        <f t="shared" si="257"/>
        <v>-277.5</v>
      </c>
      <c r="AT190" s="178"/>
      <c r="AU190" s="206"/>
      <c r="AV190" s="112">
        <v>12012.448939992053</v>
      </c>
      <c r="AW190" s="54"/>
      <c r="AX190" s="167"/>
      <c r="AY190" s="112">
        <v>12372.331752638274</v>
      </c>
      <c r="AZ190" s="178"/>
      <c r="BA190" s="206"/>
      <c r="BB190" s="112">
        <v>12090.34781716939</v>
      </c>
      <c r="BC190" s="54"/>
      <c r="BD190" s="167"/>
      <c r="BE190" s="112">
        <v>12604.548103911558</v>
      </c>
      <c r="BF190" s="178"/>
      <c r="BG190" s="178"/>
      <c r="BH190" s="178"/>
      <c r="BI190" s="178"/>
      <c r="BJ190" s="178"/>
    </row>
    <row r="191" spans="1:62" hidden="1" outlineLevel="1" x14ac:dyDescent="0.4">
      <c r="C191" s="56" t="s">
        <v>19</v>
      </c>
      <c r="D191" s="57"/>
      <c r="F191" s="112">
        <f t="shared" si="245"/>
        <v>1074</v>
      </c>
      <c r="G191" s="54"/>
      <c r="H191" s="167"/>
      <c r="I191" s="112">
        <v>1100.73</v>
      </c>
      <c r="J191" s="54"/>
      <c r="K191" s="205">
        <f t="shared" si="246"/>
        <v>1077</v>
      </c>
      <c r="L191" s="112">
        <v>1108.05</v>
      </c>
      <c r="M191" s="54"/>
      <c r="N191" s="167"/>
      <c r="O191" s="112">
        <f t="shared" si="247"/>
        <v>1128</v>
      </c>
      <c r="P191" s="54"/>
      <c r="Q191" s="167"/>
      <c r="R191" s="112">
        <f t="shared" si="248"/>
        <v>1137</v>
      </c>
      <c r="S191" s="54"/>
      <c r="T191" s="167"/>
      <c r="U191" s="112">
        <f t="shared" si="249"/>
        <v>1176</v>
      </c>
      <c r="V191" s="54"/>
      <c r="W191" s="167"/>
      <c r="X191" s="112">
        <f t="shared" si="250"/>
        <v>1240.8000000000002</v>
      </c>
      <c r="Y191" s="54"/>
      <c r="Z191" s="167"/>
      <c r="AA191" s="112">
        <f t="shared" si="251"/>
        <v>1323.8999999999999</v>
      </c>
      <c r="AB191" s="54"/>
      <c r="AC191" s="167"/>
      <c r="AD191" s="112">
        <f t="shared" si="252"/>
        <v>1401</v>
      </c>
      <c r="AE191" s="54"/>
      <c r="AF191" s="167"/>
      <c r="AG191" s="112">
        <f t="shared" si="253"/>
        <v>1470</v>
      </c>
      <c r="AH191" s="178"/>
      <c r="AI191" s="206"/>
      <c r="AJ191" s="112">
        <f t="shared" si="254"/>
        <v>18.600000000000136</v>
      </c>
      <c r="AK191" s="54"/>
      <c r="AL191" s="167"/>
      <c r="AM191" s="112">
        <f t="shared" si="255"/>
        <v>20.100000000000136</v>
      </c>
      <c r="AN191" s="54"/>
      <c r="AO191" s="206"/>
      <c r="AP191" s="112">
        <f t="shared" si="256"/>
        <v>-18</v>
      </c>
      <c r="AQ191" s="54"/>
      <c r="AR191" s="167"/>
      <c r="AS191" s="112">
        <f t="shared" si="257"/>
        <v>-36.300000000000182</v>
      </c>
      <c r="AT191" s="178"/>
      <c r="AU191" s="206"/>
      <c r="AV191" s="112">
        <v>1382.3999999999999</v>
      </c>
      <c r="AW191" s="54"/>
      <c r="AX191" s="167"/>
      <c r="AY191" s="112">
        <v>1449.8999999999999</v>
      </c>
      <c r="AZ191" s="178"/>
      <c r="BA191" s="206"/>
      <c r="BB191" s="112">
        <v>1419</v>
      </c>
      <c r="BC191" s="54"/>
      <c r="BD191" s="167"/>
      <c r="BE191" s="112">
        <v>1506.3000000000002</v>
      </c>
      <c r="BF191" s="178"/>
      <c r="BG191" s="178"/>
      <c r="BH191" s="178"/>
      <c r="BI191" s="178"/>
      <c r="BJ191" s="178"/>
    </row>
    <row r="192" spans="1:62" hidden="1" outlineLevel="1" x14ac:dyDescent="0.4">
      <c r="C192" s="56" t="s">
        <v>20</v>
      </c>
      <c r="D192" s="57"/>
      <c r="F192" s="112">
        <f t="shared" si="245"/>
        <v>30</v>
      </c>
      <c r="G192" s="54"/>
      <c r="H192" s="167"/>
      <c r="I192" s="112">
        <f t="shared" ref="I192" si="258">0.25*12*(I22-I180)</f>
        <v>30.75</v>
      </c>
      <c r="J192" s="54"/>
      <c r="K192" s="205">
        <f t="shared" si="246"/>
        <v>30</v>
      </c>
      <c r="L192" s="112">
        <f>0.25*12*(L22-K180)</f>
        <v>33</v>
      </c>
      <c r="M192" s="54"/>
      <c r="N192" s="167"/>
      <c r="O192" s="112">
        <f t="shared" si="247"/>
        <v>33</v>
      </c>
      <c r="P192" s="54"/>
      <c r="Q192" s="167"/>
      <c r="R192" s="112">
        <f t="shared" si="248"/>
        <v>33</v>
      </c>
      <c r="S192" s="54"/>
      <c r="T192" s="167"/>
      <c r="U192" s="112">
        <f t="shared" si="249"/>
        <v>36</v>
      </c>
      <c r="V192" s="54"/>
      <c r="W192" s="167"/>
      <c r="X192" s="112">
        <f t="shared" si="250"/>
        <v>36</v>
      </c>
      <c r="Y192" s="54"/>
      <c r="Z192" s="167"/>
      <c r="AA192" s="112">
        <f t="shared" si="251"/>
        <v>36</v>
      </c>
      <c r="AB192" s="54"/>
      <c r="AC192" s="167"/>
      <c r="AD192" s="112">
        <f t="shared" si="252"/>
        <v>36</v>
      </c>
      <c r="AE192" s="54"/>
      <c r="AF192" s="167"/>
      <c r="AG192" s="112">
        <f t="shared" si="253"/>
        <v>36</v>
      </c>
      <c r="AH192" s="178"/>
      <c r="AI192" s="206"/>
      <c r="AJ192" s="112">
        <f t="shared" si="254"/>
        <v>-3.5999999999999943</v>
      </c>
      <c r="AK192" s="54"/>
      <c r="AL192" s="167"/>
      <c r="AM192" s="112">
        <f t="shared" si="255"/>
        <v>-6.5999999999999943</v>
      </c>
      <c r="AN192" s="54"/>
      <c r="AO192" s="206"/>
      <c r="AP192" s="112">
        <f t="shared" si="256"/>
        <v>-3</v>
      </c>
      <c r="AQ192" s="54"/>
      <c r="AR192" s="167"/>
      <c r="AS192" s="112">
        <f t="shared" si="257"/>
        <v>-3</v>
      </c>
      <c r="AT192" s="178"/>
      <c r="AU192" s="206"/>
      <c r="AV192" s="112">
        <v>39.599999999999994</v>
      </c>
      <c r="AW192" s="54"/>
      <c r="AX192" s="167"/>
      <c r="AY192" s="112">
        <v>42.599999999999994</v>
      </c>
      <c r="AZ192" s="178"/>
      <c r="BA192" s="206"/>
      <c r="BB192" s="112">
        <v>39</v>
      </c>
      <c r="BC192" s="54"/>
      <c r="BD192" s="167"/>
      <c r="BE192" s="112">
        <v>39</v>
      </c>
      <c r="BF192" s="178"/>
      <c r="BG192" s="178"/>
      <c r="BH192" s="178"/>
      <c r="BI192" s="178"/>
      <c r="BJ192" s="178"/>
    </row>
    <row r="193" spans="1:62" hidden="1" outlineLevel="1" x14ac:dyDescent="0.4">
      <c r="C193" s="56" t="s">
        <v>21</v>
      </c>
      <c r="D193" s="57"/>
      <c r="F193" s="112">
        <f t="shared" si="245"/>
        <v>0</v>
      </c>
      <c r="G193" s="54"/>
      <c r="H193" s="167"/>
      <c r="I193" s="112">
        <v>0</v>
      </c>
      <c r="J193" s="54"/>
      <c r="K193" s="205">
        <f t="shared" si="246"/>
        <v>0</v>
      </c>
      <c r="L193" s="112">
        <v>0</v>
      </c>
      <c r="M193" s="54"/>
      <c r="N193" s="167"/>
      <c r="O193" s="112">
        <f t="shared" si="247"/>
        <v>0</v>
      </c>
      <c r="P193" s="54"/>
      <c r="Q193" s="167"/>
      <c r="R193" s="112">
        <f t="shared" si="248"/>
        <v>0</v>
      </c>
      <c r="S193" s="54"/>
      <c r="T193" s="167"/>
      <c r="U193" s="112">
        <f t="shared" si="249"/>
        <v>0</v>
      </c>
      <c r="V193" s="54"/>
      <c r="W193" s="167"/>
      <c r="X193" s="112">
        <f t="shared" si="250"/>
        <v>0</v>
      </c>
      <c r="Y193" s="54"/>
      <c r="Z193" s="167"/>
      <c r="AA193" s="112">
        <f t="shared" si="251"/>
        <v>0</v>
      </c>
      <c r="AB193" s="54"/>
      <c r="AC193" s="167"/>
      <c r="AD193" s="112">
        <f t="shared" si="252"/>
        <v>0</v>
      </c>
      <c r="AE193" s="54"/>
      <c r="AF193" s="167"/>
      <c r="AG193" s="112">
        <f t="shared" si="253"/>
        <v>0</v>
      </c>
      <c r="AH193" s="178"/>
      <c r="AI193" s="206"/>
      <c r="AJ193" s="112">
        <f t="shared" si="254"/>
        <v>0</v>
      </c>
      <c r="AK193" s="54"/>
      <c r="AL193" s="167"/>
      <c r="AM193" s="112">
        <f t="shared" si="255"/>
        <v>0</v>
      </c>
      <c r="AN193" s="54"/>
      <c r="AO193" s="206"/>
      <c r="AP193" s="112">
        <f t="shared" si="256"/>
        <v>0</v>
      </c>
      <c r="AQ193" s="54"/>
      <c r="AR193" s="167"/>
      <c r="AS193" s="112">
        <f t="shared" si="257"/>
        <v>0</v>
      </c>
      <c r="AT193" s="178"/>
      <c r="AU193" s="206"/>
      <c r="AV193" s="112">
        <v>0</v>
      </c>
      <c r="AW193" s="54"/>
      <c r="AX193" s="167"/>
      <c r="AY193" s="112">
        <v>0</v>
      </c>
      <c r="AZ193" s="178"/>
      <c r="BA193" s="206"/>
      <c r="BB193" s="112">
        <v>0</v>
      </c>
      <c r="BC193" s="54"/>
      <c r="BD193" s="167"/>
      <c r="BE193" s="112">
        <v>0</v>
      </c>
      <c r="BF193" s="178"/>
      <c r="BG193" s="178"/>
      <c r="BH193" s="178"/>
      <c r="BI193" s="178"/>
      <c r="BJ193" s="178"/>
    </row>
    <row r="194" spans="1:62" hidden="1" outlineLevel="1" x14ac:dyDescent="0.4">
      <c r="C194" s="56" t="s">
        <v>22</v>
      </c>
      <c r="D194" s="57"/>
      <c r="F194" s="112">
        <f t="shared" si="245"/>
        <v>0</v>
      </c>
      <c r="G194" s="54"/>
      <c r="H194" s="167"/>
      <c r="I194" s="112">
        <v>40.380000000000003</v>
      </c>
      <c r="J194" s="54"/>
      <c r="K194" s="205">
        <f t="shared" si="246"/>
        <v>159</v>
      </c>
      <c r="L194" s="112">
        <v>42.2</v>
      </c>
      <c r="M194" s="54"/>
      <c r="N194" s="167"/>
      <c r="O194" s="112">
        <f t="shared" si="247"/>
        <v>321</v>
      </c>
      <c r="P194" s="54"/>
      <c r="Q194" s="167"/>
      <c r="R194" s="112">
        <f t="shared" si="248"/>
        <v>267</v>
      </c>
      <c r="S194" s="54"/>
      <c r="T194" s="167"/>
      <c r="U194" s="207">
        <v>801.69647454200458</v>
      </c>
      <c r="V194" s="54"/>
      <c r="W194" s="167"/>
      <c r="X194" s="112">
        <f t="shared" si="250"/>
        <v>375.06976373650468</v>
      </c>
      <c r="Y194" s="54"/>
      <c r="Z194" s="167"/>
      <c r="AA194" s="112">
        <f t="shared" si="251"/>
        <v>381.37178864610905</v>
      </c>
      <c r="AB194" s="54"/>
      <c r="AC194" s="167"/>
      <c r="AD194" s="112">
        <f t="shared" si="252"/>
        <v>375.13775744495069</v>
      </c>
      <c r="AE194" s="54"/>
      <c r="AF194" s="167"/>
      <c r="AG194" s="112">
        <f t="shared" si="253"/>
        <v>383.96418366379112</v>
      </c>
      <c r="AH194" s="178"/>
      <c r="AI194" s="206"/>
      <c r="AJ194" s="112">
        <f t="shared" si="254"/>
        <v>-9.5185615105656325</v>
      </c>
      <c r="AK194" s="54"/>
      <c r="AL194" s="167"/>
      <c r="AM194" s="112">
        <f t="shared" si="255"/>
        <v>-12.622533249292246</v>
      </c>
      <c r="AN194" s="54"/>
      <c r="AO194" s="206"/>
      <c r="AP194" s="112">
        <f t="shared" si="256"/>
        <v>-15.600000000002183</v>
      </c>
      <c r="AQ194" s="54"/>
      <c r="AR194" s="167"/>
      <c r="AS194" s="112">
        <f t="shared" si="257"/>
        <v>-13.5</v>
      </c>
      <c r="AT194" s="178"/>
      <c r="AU194" s="206"/>
      <c r="AV194" s="112">
        <v>384.65631895551633</v>
      </c>
      <c r="AW194" s="54"/>
      <c r="AX194" s="167"/>
      <c r="AY194" s="112">
        <v>396.58671691308336</v>
      </c>
      <c r="AZ194" s="178"/>
      <c r="BA194" s="206"/>
      <c r="BB194" s="112">
        <v>390.73775744495288</v>
      </c>
      <c r="BC194" s="54"/>
      <c r="BD194" s="167"/>
      <c r="BE194" s="112">
        <v>397.46418366379112</v>
      </c>
      <c r="BF194" s="178"/>
      <c r="BG194" s="178"/>
      <c r="BH194" s="178"/>
      <c r="BI194" s="178"/>
      <c r="BJ194" s="178"/>
    </row>
    <row r="195" spans="1:62" hidden="1" outlineLevel="1" x14ac:dyDescent="0.4">
      <c r="C195" s="56" t="s">
        <v>23</v>
      </c>
      <c r="D195" s="57"/>
      <c r="F195" s="112">
        <f t="shared" si="245"/>
        <v>939.23815348935841</v>
      </c>
      <c r="G195" s="54"/>
      <c r="H195" s="167"/>
      <c r="I195" s="112">
        <v>848.5</v>
      </c>
      <c r="J195" s="54"/>
      <c r="K195" s="205">
        <f t="shared" si="246"/>
        <v>882</v>
      </c>
      <c r="L195" s="112">
        <v>832.59</v>
      </c>
      <c r="M195" s="54"/>
      <c r="N195" s="167"/>
      <c r="O195" s="112">
        <f t="shared" si="247"/>
        <v>882</v>
      </c>
      <c r="P195" s="54"/>
      <c r="Q195" s="167"/>
      <c r="R195" s="112">
        <f t="shared" si="248"/>
        <v>885</v>
      </c>
      <c r="S195" s="54"/>
      <c r="T195" s="167"/>
      <c r="U195" s="112">
        <f t="shared" si="249"/>
        <v>884.46076371694744</v>
      </c>
      <c r="V195" s="54"/>
      <c r="W195" s="167"/>
      <c r="X195" s="112">
        <f t="shared" si="250"/>
        <v>885.42256868253537</v>
      </c>
      <c r="Y195" s="54"/>
      <c r="Z195" s="167"/>
      <c r="AA195" s="112">
        <f t="shared" si="251"/>
        <v>886.38541602523969</v>
      </c>
      <c r="AB195" s="54"/>
      <c r="AC195" s="167"/>
      <c r="AD195" s="112">
        <f t="shared" si="252"/>
        <v>887.34930687475946</v>
      </c>
      <c r="AE195" s="54"/>
      <c r="AF195" s="167"/>
      <c r="AG195" s="112">
        <f t="shared" si="253"/>
        <v>888.31424236201792</v>
      </c>
      <c r="AH195" s="178"/>
      <c r="AI195" s="206"/>
      <c r="AJ195" s="112">
        <f t="shared" si="254"/>
        <v>78.069927452150864</v>
      </c>
      <c r="AK195" s="54"/>
      <c r="AL195" s="167"/>
      <c r="AM195" s="112">
        <f t="shared" si="255"/>
        <v>83.114235442812515</v>
      </c>
      <c r="AN195" s="54"/>
      <c r="AO195" s="206"/>
      <c r="AP195" s="112">
        <f t="shared" si="256"/>
        <v>0</v>
      </c>
      <c r="AQ195" s="54"/>
      <c r="AR195" s="167"/>
      <c r="AS195" s="112">
        <f t="shared" si="257"/>
        <v>0</v>
      </c>
      <c r="AT195" s="178"/>
      <c r="AU195" s="206"/>
      <c r="AV195" s="112">
        <v>809.2793794226086</v>
      </c>
      <c r="AW195" s="54"/>
      <c r="AX195" s="167"/>
      <c r="AY195" s="112">
        <v>805.20000691920541</v>
      </c>
      <c r="AZ195" s="178"/>
      <c r="BA195" s="206"/>
      <c r="BB195" s="112">
        <v>887.34930687475946</v>
      </c>
      <c r="BC195" s="54"/>
      <c r="BD195" s="167"/>
      <c r="BE195" s="112">
        <v>888.31424236201792</v>
      </c>
      <c r="BF195" s="178"/>
      <c r="BG195" s="178"/>
      <c r="BH195" s="178"/>
      <c r="BI195" s="178"/>
      <c r="BJ195" s="178"/>
    </row>
    <row r="196" spans="1:62" hidden="1" outlineLevel="1" x14ac:dyDescent="0.4">
      <c r="C196" s="56" t="s">
        <v>24</v>
      </c>
      <c r="D196" s="57"/>
      <c r="F196" s="112">
        <f t="shared" si="245"/>
        <v>0</v>
      </c>
      <c r="G196" s="54"/>
      <c r="H196" s="167"/>
      <c r="I196" s="112">
        <v>64.89</v>
      </c>
      <c r="J196" s="54"/>
      <c r="K196" s="205">
        <f t="shared" si="246"/>
        <v>0</v>
      </c>
      <c r="L196" s="112">
        <v>63.07</v>
      </c>
      <c r="M196" s="54"/>
      <c r="N196" s="167"/>
      <c r="O196" s="112">
        <f t="shared" si="247"/>
        <v>36</v>
      </c>
      <c r="P196" s="54"/>
      <c r="Q196" s="167"/>
      <c r="R196" s="112">
        <f t="shared" si="248"/>
        <v>0</v>
      </c>
      <c r="S196" s="54"/>
      <c r="T196" s="167"/>
      <c r="U196" s="112">
        <f t="shared" si="249"/>
        <v>0</v>
      </c>
      <c r="V196" s="54"/>
      <c r="W196" s="167"/>
      <c r="X196" s="112">
        <f t="shared" si="250"/>
        <v>-1.5974196047356202</v>
      </c>
      <c r="Y196" s="54"/>
      <c r="Z196" s="167"/>
      <c r="AA196" s="112">
        <f t="shared" si="251"/>
        <v>-0.78484415930014606</v>
      </c>
      <c r="AB196" s="54"/>
      <c r="AC196" s="167"/>
      <c r="AD196" s="112">
        <f t="shared" si="252"/>
        <v>9.872005472330514E-2</v>
      </c>
      <c r="AE196" s="54"/>
      <c r="AF196" s="167"/>
      <c r="AG196" s="112">
        <f t="shared" si="253"/>
        <v>-1.9490307702435103</v>
      </c>
      <c r="AH196" s="178"/>
      <c r="AI196" s="206"/>
      <c r="AJ196" s="112">
        <f t="shared" si="254"/>
        <v>-1.9915621862266306</v>
      </c>
      <c r="AK196" s="54"/>
      <c r="AL196" s="167"/>
      <c r="AM196" s="112">
        <f t="shared" si="255"/>
        <v>-2.1648037697583256</v>
      </c>
      <c r="AN196" s="54"/>
      <c r="AO196" s="206"/>
      <c r="AP196" s="112">
        <f t="shared" si="256"/>
        <v>0</v>
      </c>
      <c r="AQ196" s="54"/>
      <c r="AR196" s="167"/>
      <c r="AS196" s="112">
        <f t="shared" si="257"/>
        <v>0</v>
      </c>
      <c r="AT196" s="178"/>
      <c r="AU196" s="206"/>
      <c r="AV196" s="112">
        <v>2.0902822409499358</v>
      </c>
      <c r="AW196" s="54"/>
      <c r="AX196" s="167"/>
      <c r="AY196" s="112">
        <v>0.21577299951481521</v>
      </c>
      <c r="AZ196" s="178"/>
      <c r="BA196" s="206"/>
      <c r="BB196" s="112">
        <v>9.872005472330514E-2</v>
      </c>
      <c r="BC196" s="54"/>
      <c r="BD196" s="167"/>
      <c r="BE196" s="112">
        <v>-1.9490307702435103</v>
      </c>
      <c r="BF196" s="178"/>
      <c r="BG196" s="178"/>
      <c r="BH196" s="178"/>
      <c r="BI196" s="178"/>
      <c r="BJ196" s="178"/>
    </row>
    <row r="197" spans="1:62" ht="14.25" hidden="1" outlineLevel="1" thickBot="1" x14ac:dyDescent="0.45">
      <c r="C197" s="64" t="s">
        <v>76</v>
      </c>
      <c r="D197" s="65"/>
      <c r="F197" s="208">
        <f>SUM(F189:F196)</f>
        <v>133399.51437442808</v>
      </c>
      <c r="G197" s="54"/>
      <c r="H197" s="143"/>
      <c r="I197" s="208">
        <f>SUM(I189:I196)</f>
        <v>141981.28000000003</v>
      </c>
      <c r="J197" s="54"/>
      <c r="K197" s="209">
        <f>SUM(K189:K196)</f>
        <v>146677</v>
      </c>
      <c r="L197" s="208">
        <f>SUM(L189:L196)</f>
        <v>147901.41</v>
      </c>
      <c r="M197" s="54"/>
      <c r="N197" s="143"/>
      <c r="O197" s="208">
        <f>SUM(O189:O196)</f>
        <v>150861</v>
      </c>
      <c r="P197" s="54"/>
      <c r="Q197" s="143"/>
      <c r="R197" s="208">
        <f>SUM(R189:R196)</f>
        <v>151467</v>
      </c>
      <c r="S197" s="54"/>
      <c r="T197" s="143"/>
      <c r="U197" s="208">
        <f>SUM(U189:U196)</f>
        <v>155051.54436352249</v>
      </c>
      <c r="V197" s="54"/>
      <c r="W197" s="143"/>
      <c r="X197" s="208">
        <f>SUM(X189:X196)</f>
        <v>158735.17006747477</v>
      </c>
      <c r="Y197" s="54"/>
      <c r="Z197" s="143"/>
      <c r="AA197" s="208">
        <f>SUM(AA189:AA196)</f>
        <v>163581.40961463845</v>
      </c>
      <c r="AB197" s="54"/>
      <c r="AC197" s="143"/>
      <c r="AD197" s="208">
        <f>SUM(AD189:AD196)</f>
        <v>168677.53738890131</v>
      </c>
      <c r="AE197" s="54"/>
      <c r="AF197" s="143"/>
      <c r="AG197" s="208">
        <f>SUM(AG189:AG196)</f>
        <v>173482.43086446027</v>
      </c>
      <c r="AH197" s="178"/>
      <c r="AI197" s="144"/>
      <c r="AJ197" s="208">
        <f t="shared" si="254"/>
        <v>-866.47249443401233</v>
      </c>
      <c r="AK197" s="54"/>
      <c r="AL197" s="143"/>
      <c r="AM197" s="208">
        <f t="shared" si="255"/>
        <v>-708.91110581214889</v>
      </c>
      <c r="AN197" s="54"/>
      <c r="AO197" s="144"/>
      <c r="AP197" s="208">
        <f t="shared" si="256"/>
        <v>-1905</v>
      </c>
      <c r="AQ197" s="54"/>
      <c r="AR197" s="143"/>
      <c r="AS197" s="208">
        <f t="shared" si="257"/>
        <v>-3880.7999999999884</v>
      </c>
      <c r="AT197" s="178"/>
      <c r="AU197" s="144"/>
      <c r="AV197" s="208">
        <v>169544.00988333533</v>
      </c>
      <c r="AW197" s="54"/>
      <c r="AX197" s="143"/>
      <c r="AY197" s="208">
        <v>174191.34197027242</v>
      </c>
      <c r="AZ197" s="178"/>
      <c r="BA197" s="144"/>
      <c r="BB197" s="208">
        <v>170582.53738890131</v>
      </c>
      <c r="BC197" s="54"/>
      <c r="BD197" s="143"/>
      <c r="BE197" s="208">
        <v>177363.23086446026</v>
      </c>
      <c r="BF197" s="178"/>
      <c r="BG197" s="178"/>
      <c r="BH197" s="178"/>
      <c r="BI197" s="178"/>
      <c r="BJ197" s="178"/>
    </row>
    <row r="198" spans="1:62" collapsed="1" x14ac:dyDescent="0.4">
      <c r="C198" s="39"/>
      <c r="D198" s="39"/>
      <c r="F198" s="70"/>
      <c r="G198" s="54"/>
      <c r="H198" s="20"/>
      <c r="I198" s="70"/>
      <c r="J198" s="72"/>
      <c r="K198" s="210"/>
      <c r="L198" s="70"/>
      <c r="M198" s="72"/>
      <c r="N198" s="210"/>
      <c r="O198" s="70"/>
      <c r="P198" s="72"/>
      <c r="Q198" s="210"/>
      <c r="R198" s="70"/>
      <c r="S198" s="72"/>
      <c r="T198" s="210"/>
      <c r="U198" s="70"/>
      <c r="V198" s="72"/>
      <c r="W198" s="210"/>
      <c r="X198" s="70"/>
      <c r="Y198" s="72"/>
      <c r="Z198" s="210"/>
      <c r="AA198" s="70"/>
      <c r="AB198" s="72"/>
      <c r="AC198" s="210"/>
      <c r="AD198" s="70"/>
      <c r="AE198" s="72"/>
      <c r="AF198" s="210"/>
      <c r="AG198" s="70"/>
      <c r="AH198" s="178"/>
      <c r="AI198" s="211"/>
      <c r="AJ198" s="70"/>
      <c r="AK198" s="72"/>
      <c r="AL198" s="210"/>
      <c r="AM198" s="70"/>
      <c r="AN198" s="72"/>
      <c r="AO198" s="211"/>
      <c r="AP198" s="70"/>
      <c r="AQ198" s="72"/>
      <c r="AR198" s="210"/>
      <c r="AS198" s="70"/>
      <c r="AT198" s="178"/>
      <c r="AU198" s="211"/>
      <c r="AV198" s="70"/>
      <c r="AW198" s="72"/>
      <c r="AX198" s="210"/>
      <c r="AY198" s="70"/>
      <c r="AZ198" s="178"/>
      <c r="BA198" s="211"/>
      <c r="BB198" s="70"/>
      <c r="BC198" s="72"/>
      <c r="BD198" s="210"/>
      <c r="BE198" s="70"/>
      <c r="BF198" s="178"/>
      <c r="BG198" s="178"/>
      <c r="BH198" s="178"/>
      <c r="BI198" s="178"/>
      <c r="BJ198" s="178"/>
    </row>
    <row r="199" spans="1:62" s="49" customFormat="1" x14ac:dyDescent="0.4">
      <c r="A199" s="42" t="s">
        <v>77</v>
      </c>
      <c r="B199" s="43"/>
      <c r="C199" s="44"/>
      <c r="D199" s="44"/>
      <c r="E199" s="45"/>
      <c r="F199" s="46"/>
      <c r="G199" s="47"/>
      <c r="H199" s="48"/>
      <c r="I199" s="46"/>
      <c r="J199" s="47"/>
      <c r="K199" s="48"/>
      <c r="L199" s="46"/>
      <c r="M199" s="47"/>
      <c r="N199" s="48"/>
      <c r="O199" s="46"/>
      <c r="P199" s="47"/>
      <c r="Q199" s="48"/>
      <c r="R199" s="46"/>
      <c r="S199" s="47"/>
      <c r="T199" s="48"/>
      <c r="U199" s="46"/>
      <c r="V199" s="47"/>
      <c r="W199" s="48"/>
      <c r="X199" s="46"/>
      <c r="Y199" s="47"/>
      <c r="Z199" s="48"/>
      <c r="AA199" s="46"/>
      <c r="AB199" s="47"/>
      <c r="AC199" s="48"/>
      <c r="AD199" s="46"/>
      <c r="AE199" s="47"/>
      <c r="AF199" s="48"/>
      <c r="AG199" s="46"/>
      <c r="AH199" s="212"/>
      <c r="AI199" s="50"/>
      <c r="AJ199" s="46"/>
      <c r="AK199" s="47"/>
      <c r="AL199" s="48"/>
      <c r="AM199" s="46"/>
      <c r="AN199" s="47"/>
      <c r="AO199" s="50"/>
      <c r="AP199" s="46"/>
      <c r="AQ199" s="47"/>
      <c r="AR199" s="48"/>
      <c r="AS199" s="46"/>
      <c r="AT199" s="212"/>
      <c r="AU199" s="50"/>
      <c r="AV199" s="46"/>
      <c r="AW199" s="47"/>
      <c r="AX199" s="48"/>
      <c r="AY199" s="46"/>
      <c r="AZ199" s="212"/>
      <c r="BA199" s="50"/>
      <c r="BB199" s="46"/>
      <c r="BC199" s="47"/>
      <c r="BD199" s="48"/>
      <c r="BE199" s="46"/>
      <c r="BF199" s="212"/>
      <c r="BG199" s="212"/>
      <c r="BH199" s="212"/>
      <c r="BI199" s="212"/>
      <c r="BJ199" s="212"/>
    </row>
    <row r="200" spans="1:62" x14ac:dyDescent="0.4">
      <c r="C200" s="39"/>
      <c r="D200" s="39"/>
      <c r="E200" s="52"/>
      <c r="F200" s="53"/>
      <c r="G200" s="54"/>
      <c r="H200" s="20"/>
      <c r="I200" s="53"/>
      <c r="J200" s="54"/>
      <c r="K200" s="20"/>
      <c r="L200" s="53"/>
      <c r="M200" s="54"/>
      <c r="N200" s="20"/>
      <c r="O200" s="53"/>
      <c r="P200" s="54"/>
      <c r="Q200" s="20"/>
      <c r="R200" s="53"/>
      <c r="S200" s="54"/>
      <c r="T200" s="20"/>
      <c r="U200" s="53"/>
      <c r="V200" s="54"/>
      <c r="W200" s="20"/>
      <c r="X200" s="53"/>
      <c r="Y200" s="54"/>
      <c r="Z200" s="20"/>
      <c r="AA200" s="53"/>
      <c r="AB200" s="54"/>
      <c r="AC200" s="20"/>
      <c r="AD200" s="53"/>
      <c r="AE200" s="54"/>
      <c r="AF200" s="20"/>
      <c r="AG200" s="53"/>
      <c r="AH200" s="178"/>
      <c r="AI200" s="213"/>
      <c r="AJ200" s="214"/>
      <c r="AK200" s="215"/>
      <c r="AL200" s="216"/>
      <c r="AM200" s="214"/>
      <c r="AN200" s="54"/>
      <c r="AO200" s="69"/>
      <c r="AP200" s="53"/>
      <c r="AQ200" s="54"/>
      <c r="AR200" s="20"/>
      <c r="AS200" s="53"/>
      <c r="AT200" s="178"/>
      <c r="AU200" s="69"/>
      <c r="AV200" s="53"/>
      <c r="AW200" s="54"/>
      <c r="AX200" s="20"/>
      <c r="AY200" s="53"/>
      <c r="AZ200" s="178"/>
      <c r="BA200" s="69"/>
      <c r="BB200" s="53"/>
      <c r="BC200" s="54"/>
      <c r="BD200" s="20"/>
      <c r="BE200" s="53"/>
      <c r="BF200" s="178"/>
      <c r="BG200" s="178"/>
      <c r="BH200" s="178"/>
      <c r="BI200" s="178"/>
      <c r="BJ200" s="178"/>
    </row>
    <row r="201" spans="1:62" x14ac:dyDescent="0.4">
      <c r="B201" s="2" t="s">
        <v>78</v>
      </c>
      <c r="C201" s="217"/>
      <c r="D201" s="218"/>
      <c r="E201" s="52"/>
      <c r="F201" s="219" t="s">
        <v>67</v>
      </c>
      <c r="G201" s="54"/>
      <c r="H201" s="20"/>
      <c r="I201" s="219" t="s">
        <v>67</v>
      </c>
      <c r="J201" s="54"/>
      <c r="K201" s="20"/>
      <c r="L201" s="219" t="s">
        <v>67</v>
      </c>
      <c r="M201" s="54"/>
      <c r="N201" s="20"/>
      <c r="O201" s="219" t="s">
        <v>67</v>
      </c>
      <c r="P201" s="54"/>
      <c r="Q201" s="20"/>
      <c r="R201" s="219" t="s">
        <v>67</v>
      </c>
      <c r="S201" s="54"/>
      <c r="T201" s="20"/>
      <c r="U201" s="219" t="s">
        <v>67</v>
      </c>
      <c r="V201" s="54"/>
      <c r="W201" s="20"/>
      <c r="X201" s="219" t="s">
        <v>67</v>
      </c>
      <c r="Y201" s="54"/>
      <c r="Z201" s="20"/>
      <c r="AA201" s="219" t="s">
        <v>67</v>
      </c>
      <c r="AB201" s="54"/>
      <c r="AC201" s="20"/>
      <c r="AD201" s="219" t="s">
        <v>67</v>
      </c>
      <c r="AE201" s="54"/>
      <c r="AF201" s="20"/>
      <c r="AG201" s="219" t="s">
        <v>67</v>
      </c>
      <c r="AH201" s="178"/>
      <c r="AI201" s="69"/>
      <c r="AJ201" s="219" t="s">
        <v>67</v>
      </c>
      <c r="AK201" s="54"/>
      <c r="AL201" s="20"/>
      <c r="AM201" s="219" t="s">
        <v>67</v>
      </c>
      <c r="AN201" s="54"/>
      <c r="AO201" s="69"/>
      <c r="AP201" s="219" t="s">
        <v>67</v>
      </c>
      <c r="AQ201" s="54"/>
      <c r="AR201" s="20"/>
      <c r="AS201" s="219" t="s">
        <v>67</v>
      </c>
      <c r="AT201" s="178"/>
      <c r="AU201" s="69"/>
      <c r="AV201" s="219" t="s">
        <v>67</v>
      </c>
      <c r="AW201" s="54"/>
      <c r="AX201" s="20"/>
      <c r="AY201" s="219" t="s">
        <v>67</v>
      </c>
      <c r="AZ201" s="178"/>
      <c r="BA201" s="69"/>
      <c r="BB201" s="219" t="s">
        <v>67</v>
      </c>
      <c r="BC201" s="54"/>
      <c r="BD201" s="20"/>
      <c r="BE201" s="219" t="s">
        <v>67</v>
      </c>
      <c r="BF201" s="178"/>
      <c r="BG201" s="178"/>
      <c r="BH201" s="178"/>
      <c r="BI201" s="178"/>
      <c r="BJ201" s="178"/>
    </row>
    <row r="202" spans="1:62" x14ac:dyDescent="0.4">
      <c r="C202" s="217" t="s">
        <v>79</v>
      </c>
      <c r="D202" s="218"/>
      <c r="E202" s="52"/>
      <c r="F202" s="70">
        <f>F236+F247</f>
        <v>76536632.328015983</v>
      </c>
      <c r="G202" s="54"/>
      <c r="H202" s="20"/>
      <c r="I202" s="70">
        <v>58754296.199999996</v>
      </c>
      <c r="J202" s="54"/>
      <c r="K202" s="20"/>
      <c r="L202" s="70">
        <v>62384861.699999996</v>
      </c>
      <c r="M202" s="54"/>
      <c r="N202" s="20"/>
      <c r="O202" s="70">
        <f>O236+O247</f>
        <v>63763054.108103275</v>
      </c>
      <c r="P202" s="54"/>
      <c r="Q202" s="20"/>
      <c r="R202" s="70">
        <f>R236+R247</f>
        <v>63412133.73016753</v>
      </c>
      <c r="S202" s="54"/>
      <c r="T202" s="20"/>
      <c r="U202" s="70">
        <f>U236+U247</f>
        <v>64204299.54114417</v>
      </c>
      <c r="V202" s="54"/>
      <c r="W202" s="20"/>
      <c r="X202" s="70">
        <f>X236+X247</f>
        <v>64531017.966297053</v>
      </c>
      <c r="Y202" s="54"/>
      <c r="Z202" s="20"/>
      <c r="AA202" s="70">
        <f>AA236+AA247</f>
        <v>64652346.764707625</v>
      </c>
      <c r="AB202" s="54"/>
      <c r="AC202" s="20"/>
      <c r="AD202" s="70">
        <f>AD236+AD247+SUM(AD318:AD329)</f>
        <v>61476898.868033484</v>
      </c>
      <c r="AE202" s="54"/>
      <c r="AF202" s="20"/>
      <c r="AG202" s="70">
        <f>AG236+AG247+SUM(AG318:AG329)</f>
        <v>61707085.859804586</v>
      </c>
      <c r="AH202" s="178"/>
      <c r="AI202" s="69"/>
      <c r="AJ202" s="70">
        <f t="shared" ref="AJ202:AJ210" si="259">AD202-AV202</f>
        <v>6451349.0911865681</v>
      </c>
      <c r="AK202" s="54"/>
      <c r="AL202" s="20"/>
      <c r="AM202" s="70">
        <f t="shared" ref="AM202:AM210" si="260">AG202-AY202</f>
        <v>5735692.4023459628</v>
      </c>
      <c r="AN202" s="54"/>
      <c r="AO202" s="69"/>
      <c r="AP202" s="70">
        <f t="shared" ref="AP202:AP210" si="261">AD202-BB202</f>
        <v>-4222789.1653891206</v>
      </c>
      <c r="AQ202" s="54"/>
      <c r="AR202" s="20"/>
      <c r="AS202" s="70">
        <f t="shared" ref="AS202:AS210" si="262">AG202-BE202</f>
        <v>-4956992.7430401966</v>
      </c>
      <c r="AT202" s="178"/>
      <c r="AU202" s="69"/>
      <c r="AV202" s="70">
        <v>55025549.776846915</v>
      </c>
      <c r="AW202" s="54"/>
      <c r="AX202" s="20"/>
      <c r="AY202" s="70">
        <v>55971393.457458623</v>
      </c>
      <c r="AZ202" s="178"/>
      <c r="BA202" s="69"/>
      <c r="BB202" s="70">
        <v>65699688.033422604</v>
      </c>
      <c r="BC202" s="54"/>
      <c r="BD202" s="20"/>
      <c r="BE202" s="70">
        <v>66664078.602844782</v>
      </c>
      <c r="BF202" s="178"/>
      <c r="BG202" s="178"/>
      <c r="BH202" s="178"/>
      <c r="BI202" s="178"/>
      <c r="BJ202" s="178"/>
    </row>
    <row r="203" spans="1:62" x14ac:dyDescent="0.4">
      <c r="C203" s="217" t="s">
        <v>80</v>
      </c>
      <c r="D203" s="218"/>
      <c r="E203" s="52"/>
      <c r="F203" s="70">
        <f>F258</f>
        <v>0</v>
      </c>
      <c r="G203" s="54"/>
      <c r="H203" s="20"/>
      <c r="I203" s="70">
        <v>19539865.149999999</v>
      </c>
      <c r="J203" s="54"/>
      <c r="K203" s="20"/>
      <c r="L203" s="70">
        <v>20878745.510000002</v>
      </c>
      <c r="M203" s="54"/>
      <c r="N203" s="20"/>
      <c r="O203" s="70">
        <f>O258</f>
        <v>38437493.620110415</v>
      </c>
      <c r="P203" s="54"/>
      <c r="Q203" s="20"/>
      <c r="R203" s="70">
        <f>R258</f>
        <v>37931180.745413125</v>
      </c>
      <c r="S203" s="54"/>
      <c r="T203" s="20"/>
      <c r="U203" s="70">
        <f>U258</f>
        <v>46107560.15176931</v>
      </c>
      <c r="V203" s="54"/>
      <c r="W203" s="20"/>
      <c r="X203" s="70">
        <f>X258</f>
        <v>46136511.94907517</v>
      </c>
      <c r="Y203" s="54"/>
      <c r="Z203" s="20"/>
      <c r="AA203" s="70">
        <f>AA258</f>
        <v>46238325.487699278</v>
      </c>
      <c r="AB203" s="54"/>
      <c r="AC203" s="20"/>
      <c r="AD203" s="70">
        <f>AD258+SUM(AD332:AD339)</f>
        <v>47131361.094540142</v>
      </c>
      <c r="AE203" s="54"/>
      <c r="AF203" s="20"/>
      <c r="AG203" s="70">
        <f>AG258+SUM(AG332:AG339)</f>
        <v>47296218.303055532</v>
      </c>
      <c r="AH203" s="178"/>
      <c r="AI203" s="69"/>
      <c r="AJ203" s="70">
        <f t="shared" si="259"/>
        <v>8411716.1816025004</v>
      </c>
      <c r="AK203" s="54"/>
      <c r="AL203" s="20"/>
      <c r="AM203" s="70">
        <f t="shared" si="260"/>
        <v>7803094.3147074431</v>
      </c>
      <c r="AN203" s="54"/>
      <c r="AO203" s="69"/>
      <c r="AP203" s="70">
        <f t="shared" si="261"/>
        <v>-249527.29126472026</v>
      </c>
      <c r="AQ203" s="54"/>
      <c r="AR203" s="20"/>
      <c r="AS203" s="70">
        <f t="shared" si="262"/>
        <v>-684328.63335378468</v>
      </c>
      <c r="AT203" s="178"/>
      <c r="AU203" s="69"/>
      <c r="AV203" s="70">
        <v>38719644.912937641</v>
      </c>
      <c r="AW203" s="54"/>
      <c r="AX203" s="20"/>
      <c r="AY203" s="70">
        <v>39493123.988348089</v>
      </c>
      <c r="AZ203" s="178"/>
      <c r="BA203" s="69"/>
      <c r="BB203" s="70">
        <v>47380888.385804862</v>
      </c>
      <c r="BC203" s="54"/>
      <c r="BD203" s="20"/>
      <c r="BE203" s="70">
        <v>47980546.936409317</v>
      </c>
      <c r="BF203" s="178"/>
      <c r="BG203" s="178"/>
      <c r="BH203" s="178"/>
      <c r="BI203" s="178"/>
      <c r="BJ203" s="178"/>
    </row>
    <row r="204" spans="1:62" x14ac:dyDescent="0.4">
      <c r="C204" s="217" t="s">
        <v>81</v>
      </c>
      <c r="D204" s="218"/>
      <c r="E204" s="52"/>
      <c r="F204" s="70">
        <f>F291</f>
        <v>6037114.6962666214</v>
      </c>
      <c r="G204" s="54"/>
      <c r="H204" s="20"/>
      <c r="I204" s="70">
        <v>5750632.0300000003</v>
      </c>
      <c r="J204" s="54"/>
      <c r="K204" s="20"/>
      <c r="L204" s="70">
        <v>5760863.21</v>
      </c>
      <c r="M204" s="54"/>
      <c r="N204" s="20"/>
      <c r="O204" s="70">
        <f>O291</f>
        <v>5961010.2854987271</v>
      </c>
      <c r="P204" s="54"/>
      <c r="Q204" s="20"/>
      <c r="R204" s="70">
        <f>R291</f>
        <v>5911059.8649855163</v>
      </c>
      <c r="S204" s="54"/>
      <c r="T204" s="20"/>
      <c r="U204" s="70">
        <f>U291</f>
        <v>6009127.7702760641</v>
      </c>
      <c r="V204" s="54"/>
      <c r="W204" s="20"/>
      <c r="X204" s="70">
        <f>X291</f>
        <v>6028551.4698720798</v>
      </c>
      <c r="Y204" s="54"/>
      <c r="Z204" s="20"/>
      <c r="AA204" s="70">
        <f>AA291</f>
        <v>6040703.432221693</v>
      </c>
      <c r="AB204" s="54"/>
      <c r="AC204" s="20"/>
      <c r="AD204" s="70">
        <f>AD291</f>
        <v>4176821.3757625567</v>
      </c>
      <c r="AE204" s="54"/>
      <c r="AF204" s="20"/>
      <c r="AG204" s="70">
        <f>AG291</f>
        <v>4192719.811895018</v>
      </c>
      <c r="AH204" s="178"/>
      <c r="AI204" s="69"/>
      <c r="AJ204" s="70">
        <f t="shared" si="259"/>
        <v>657756.49944703048</v>
      </c>
      <c r="AK204" s="54"/>
      <c r="AL204" s="20"/>
      <c r="AM204" s="70">
        <f t="shared" si="260"/>
        <v>679268.13572642999</v>
      </c>
      <c r="AN204" s="54"/>
      <c r="AO204" s="69"/>
      <c r="AP204" s="70">
        <f t="shared" si="261"/>
        <v>-1983082.0214220844</v>
      </c>
      <c r="AQ204" s="54"/>
      <c r="AR204" s="20"/>
      <c r="AS204" s="70">
        <f t="shared" si="262"/>
        <v>-2052405.6887931204</v>
      </c>
      <c r="AT204" s="178"/>
      <c r="AU204" s="69"/>
      <c r="AV204" s="70">
        <v>3519064.8763155262</v>
      </c>
      <c r="AW204" s="54"/>
      <c r="AX204" s="20"/>
      <c r="AY204" s="70">
        <v>3513451.676168588</v>
      </c>
      <c r="AZ204" s="178"/>
      <c r="BA204" s="69"/>
      <c r="BB204" s="70">
        <v>6159903.3971846411</v>
      </c>
      <c r="BC204" s="54"/>
      <c r="BD204" s="20"/>
      <c r="BE204" s="70">
        <v>6245125.5006881384</v>
      </c>
      <c r="BF204" s="178"/>
      <c r="BG204" s="178"/>
      <c r="BH204" s="178"/>
      <c r="BI204" s="178"/>
      <c r="BJ204" s="178"/>
    </row>
    <row r="205" spans="1:62" x14ac:dyDescent="0.4">
      <c r="C205" s="217" t="s">
        <v>82</v>
      </c>
      <c r="D205" s="218"/>
      <c r="E205" s="52"/>
      <c r="F205" s="70">
        <f>F269</f>
        <v>7275370.131061445</v>
      </c>
      <c r="G205" s="54"/>
      <c r="H205" s="20"/>
      <c r="I205" s="70">
        <v>5989027.4400000004</v>
      </c>
      <c r="J205" s="54"/>
      <c r="K205" s="20"/>
      <c r="L205" s="70">
        <v>6591755.0899999999</v>
      </c>
      <c r="M205" s="54"/>
      <c r="N205" s="20"/>
      <c r="O205" s="70">
        <f>O269</f>
        <v>7178759.1932169087</v>
      </c>
      <c r="P205" s="54"/>
      <c r="Q205" s="20"/>
      <c r="R205" s="70">
        <f>R269</f>
        <v>7094829.2939361222</v>
      </c>
      <c r="S205" s="54"/>
      <c r="T205" s="20"/>
      <c r="U205" s="70">
        <f>U269</f>
        <v>7234162.4800462723</v>
      </c>
      <c r="V205" s="54"/>
      <c r="W205" s="20"/>
      <c r="X205" s="70">
        <f>X269</f>
        <v>7265788.739600894</v>
      </c>
      <c r="Y205" s="54"/>
      <c r="Z205" s="20"/>
      <c r="AA205" s="70">
        <f>AA269</f>
        <v>7281337.5451034168</v>
      </c>
      <c r="AB205" s="54"/>
      <c r="AC205" s="20"/>
      <c r="AD205" s="70">
        <f>AD269</f>
        <v>7759984.2077739043</v>
      </c>
      <c r="AE205" s="54"/>
      <c r="AF205" s="20"/>
      <c r="AG205" s="70">
        <f>AG269</f>
        <v>7787710.8816625802</v>
      </c>
      <c r="AH205" s="178"/>
      <c r="AI205" s="69"/>
      <c r="AJ205" s="70">
        <f t="shared" si="259"/>
        <v>10676.890309768729</v>
      </c>
      <c r="AK205" s="54"/>
      <c r="AL205" s="20"/>
      <c r="AM205" s="70">
        <f t="shared" si="260"/>
        <v>-101662.54779035971</v>
      </c>
      <c r="AN205" s="54"/>
      <c r="AO205" s="69"/>
      <c r="AP205" s="70">
        <f t="shared" si="261"/>
        <v>337613.34126681648</v>
      </c>
      <c r="AQ205" s="54"/>
      <c r="AR205" s="20"/>
      <c r="AS205" s="70">
        <f t="shared" si="262"/>
        <v>262417.93473995384</v>
      </c>
      <c r="AT205" s="178"/>
      <c r="AU205" s="69"/>
      <c r="AV205" s="70">
        <v>7749307.3174641356</v>
      </c>
      <c r="AW205" s="54"/>
      <c r="AX205" s="20"/>
      <c r="AY205" s="70">
        <v>7889373.4294529399</v>
      </c>
      <c r="AZ205" s="178"/>
      <c r="BA205" s="69"/>
      <c r="BB205" s="70">
        <v>7422370.8665070878</v>
      </c>
      <c r="BC205" s="54"/>
      <c r="BD205" s="20"/>
      <c r="BE205" s="70">
        <v>7525292.9469226263</v>
      </c>
      <c r="BF205" s="178"/>
      <c r="BG205" s="178"/>
      <c r="BH205" s="178"/>
      <c r="BI205" s="178"/>
      <c r="BJ205" s="178"/>
    </row>
    <row r="206" spans="1:62" x14ac:dyDescent="0.4">
      <c r="C206" s="217" t="s">
        <v>83</v>
      </c>
      <c r="D206" s="218"/>
      <c r="E206" s="52"/>
      <c r="F206" s="70">
        <f>F280</f>
        <v>6166389.3238722766</v>
      </c>
      <c r="G206" s="54"/>
      <c r="H206" s="20"/>
      <c r="I206" s="70">
        <v>6148166.6900000004</v>
      </c>
      <c r="J206" s="54"/>
      <c r="K206" s="20"/>
      <c r="L206" s="70">
        <v>6071129.1900000004</v>
      </c>
      <c r="M206" s="54"/>
      <c r="N206" s="20"/>
      <c r="O206" s="70">
        <f>O280</f>
        <v>6081932.3802741552</v>
      </c>
      <c r="P206" s="54"/>
      <c r="Q206" s="20"/>
      <c r="R206" s="70">
        <f>R280</f>
        <v>6011747.1788534485</v>
      </c>
      <c r="S206" s="54"/>
      <c r="T206" s="20"/>
      <c r="U206" s="70">
        <f>U280</f>
        <v>6127670.6568814414</v>
      </c>
      <c r="V206" s="54"/>
      <c r="W206" s="20"/>
      <c r="X206" s="70">
        <f>X280</f>
        <v>6146250.0205586972</v>
      </c>
      <c r="Y206" s="54"/>
      <c r="Z206" s="20"/>
      <c r="AA206" s="70">
        <f>AA280</f>
        <v>6158425.8048751624</v>
      </c>
      <c r="AB206" s="54"/>
      <c r="AC206" s="20"/>
      <c r="AD206" s="70">
        <f>AD280</f>
        <v>7443953.7269479763</v>
      </c>
      <c r="AE206" s="54"/>
      <c r="AF206" s="20"/>
      <c r="AG206" s="70">
        <f>AG280</f>
        <v>7470820.6803892013</v>
      </c>
      <c r="AH206" s="178"/>
      <c r="AI206" s="69"/>
      <c r="AJ206" s="70">
        <f t="shared" si="259"/>
        <v>584663.56043405365</v>
      </c>
      <c r="AK206" s="54"/>
      <c r="AL206" s="20"/>
      <c r="AM206" s="70">
        <f t="shared" si="260"/>
        <v>487276.88018669654</v>
      </c>
      <c r="AN206" s="54"/>
      <c r="AO206" s="69"/>
      <c r="AP206" s="70">
        <f t="shared" si="261"/>
        <v>1166725.3809912857</v>
      </c>
      <c r="AQ206" s="54"/>
      <c r="AR206" s="20"/>
      <c r="AS206" s="70">
        <f t="shared" si="262"/>
        <v>1106464.5476634605</v>
      </c>
      <c r="AT206" s="178"/>
      <c r="AU206" s="69"/>
      <c r="AV206" s="70">
        <v>6859290.1665139226</v>
      </c>
      <c r="AW206" s="54"/>
      <c r="AX206" s="20"/>
      <c r="AY206" s="70">
        <v>6983543.8002025047</v>
      </c>
      <c r="AZ206" s="178"/>
      <c r="BA206" s="69"/>
      <c r="BB206" s="70">
        <v>6277228.3459566906</v>
      </c>
      <c r="BC206" s="54"/>
      <c r="BD206" s="20"/>
      <c r="BE206" s="70">
        <v>6364356.1327257408</v>
      </c>
      <c r="BF206" s="178"/>
      <c r="BG206" s="178"/>
      <c r="BH206" s="178"/>
      <c r="BI206" s="178"/>
      <c r="BJ206" s="178"/>
    </row>
    <row r="207" spans="1:62" x14ac:dyDescent="0.4">
      <c r="C207" s="217" t="s">
        <v>84</v>
      </c>
      <c r="D207" s="218"/>
      <c r="E207" s="52"/>
      <c r="F207" s="70">
        <f>F302</f>
        <v>1509278.6740666553</v>
      </c>
      <c r="G207" s="54"/>
      <c r="H207" s="20"/>
      <c r="I207" s="70"/>
      <c r="J207" s="54"/>
      <c r="K207" s="20"/>
      <c r="L207" s="70">
        <v>0</v>
      </c>
      <c r="M207" s="54"/>
      <c r="N207" s="20"/>
      <c r="O207" s="70">
        <f>O302</f>
        <v>1452040.9669804592</v>
      </c>
      <c r="P207" s="54"/>
      <c r="Q207" s="20"/>
      <c r="R207" s="70">
        <f>R302</f>
        <v>1439873.5568554464</v>
      </c>
      <c r="S207" s="54"/>
      <c r="T207" s="20"/>
      <c r="U207" s="70">
        <f>U302</f>
        <v>1502281.942569016</v>
      </c>
      <c r="V207" s="54"/>
      <c r="W207" s="20"/>
      <c r="X207" s="70">
        <f>X302</f>
        <v>1507137.8674680199</v>
      </c>
      <c r="Y207" s="54"/>
      <c r="Z207" s="20"/>
      <c r="AA207" s="70">
        <f>AA302</f>
        <v>1510175.8580554232</v>
      </c>
      <c r="AB207" s="54"/>
      <c r="AC207" s="20"/>
      <c r="AD207" s="70">
        <f>AD302</f>
        <v>349561.61931625352</v>
      </c>
      <c r="AE207" s="54"/>
      <c r="AF207" s="20"/>
      <c r="AG207" s="70">
        <f>AG302</f>
        <v>350879.95779606531</v>
      </c>
      <c r="AH207" s="178"/>
      <c r="AI207" s="69"/>
      <c r="AJ207" s="70">
        <f t="shared" si="259"/>
        <v>19649.287161673012</v>
      </c>
      <c r="AK207" s="54"/>
      <c r="AL207" s="20"/>
      <c r="AM207" s="70">
        <f t="shared" si="260"/>
        <v>21493.863155260333</v>
      </c>
      <c r="AN207" s="54"/>
      <c r="AO207" s="69"/>
      <c r="AP207" s="70">
        <f t="shared" si="261"/>
        <v>-1190414.2299799067</v>
      </c>
      <c r="AQ207" s="54"/>
      <c r="AR207" s="20"/>
      <c r="AS207" s="70">
        <f t="shared" si="262"/>
        <v>-1210401.4173759692</v>
      </c>
      <c r="AT207" s="178"/>
      <c r="AU207" s="69"/>
      <c r="AV207" s="70">
        <v>329912.33215458051</v>
      </c>
      <c r="AW207" s="54"/>
      <c r="AX207" s="20"/>
      <c r="AY207" s="70">
        <v>329386.09464080498</v>
      </c>
      <c r="AZ207" s="178"/>
      <c r="BA207" s="69"/>
      <c r="BB207" s="70">
        <v>1539975.8492961603</v>
      </c>
      <c r="BC207" s="54"/>
      <c r="BD207" s="20"/>
      <c r="BE207" s="70">
        <v>1561281.3751720346</v>
      </c>
      <c r="BF207" s="178"/>
      <c r="BG207" s="178"/>
      <c r="BH207" s="178"/>
      <c r="BI207" s="178"/>
      <c r="BJ207" s="178"/>
    </row>
    <row r="208" spans="1:62" x14ac:dyDescent="0.4">
      <c r="C208" s="217" t="s">
        <v>85</v>
      </c>
      <c r="D208" s="218"/>
      <c r="E208" s="52"/>
      <c r="F208" s="53"/>
      <c r="G208" s="54"/>
      <c r="H208" s="20"/>
      <c r="I208" s="53"/>
      <c r="J208" s="54"/>
      <c r="K208" s="20"/>
      <c r="L208" s="70">
        <v>324701.21999999997</v>
      </c>
      <c r="M208" s="54"/>
      <c r="N208" s="20"/>
      <c r="O208" s="70">
        <f>O350</f>
        <v>-10855826.973598793</v>
      </c>
      <c r="P208" s="54"/>
      <c r="Q208" s="20"/>
      <c r="R208" s="70">
        <f>R350</f>
        <v>-10659053.067995375</v>
      </c>
      <c r="S208" s="54"/>
      <c r="T208" s="20"/>
      <c r="U208" s="70">
        <f>U350</f>
        <v>-11427179.874496548</v>
      </c>
      <c r="V208" s="54"/>
      <c r="W208" s="20"/>
      <c r="X208" s="70">
        <f>X350</f>
        <v>-11512915.699549906</v>
      </c>
      <c r="Y208" s="54"/>
      <c r="Z208" s="20"/>
      <c r="AA208" s="70">
        <f>AA350</f>
        <v>-11550541.88721473</v>
      </c>
      <c r="AB208" s="54"/>
      <c r="AC208" s="20"/>
      <c r="AD208" s="70">
        <f>AD309</f>
        <v>547166.48707030492</v>
      </c>
      <c r="AE208" s="54"/>
      <c r="AF208" s="20"/>
      <c r="AG208" s="70">
        <f>AG309</f>
        <v>557566.52064268675</v>
      </c>
      <c r="AH208" s="178"/>
      <c r="AI208" s="69"/>
      <c r="AJ208" s="70">
        <f t="shared" si="259"/>
        <v>-2995.7820622784784</v>
      </c>
      <c r="AK208" s="54"/>
      <c r="AL208" s="20"/>
      <c r="AM208" s="70">
        <f t="shared" si="260"/>
        <v>-2498.7320933855372</v>
      </c>
      <c r="AN208" s="54"/>
      <c r="AO208" s="69"/>
      <c r="AP208" s="70">
        <f t="shared" si="261"/>
        <v>12279074.029071296</v>
      </c>
      <c r="AQ208" s="54"/>
      <c r="AR208" s="20"/>
      <c r="AS208" s="70">
        <f t="shared" si="262"/>
        <v>12486614.155924376</v>
      </c>
      <c r="AT208" s="178"/>
      <c r="AU208" s="69"/>
      <c r="AV208" s="70">
        <v>550162.2691325834</v>
      </c>
      <c r="AW208" s="54"/>
      <c r="AX208" s="20"/>
      <c r="AY208" s="70">
        <v>560065.25273607229</v>
      </c>
      <c r="AZ208" s="178"/>
      <c r="BA208" s="69"/>
      <c r="BB208" s="70">
        <v>-11731907.54200099</v>
      </c>
      <c r="BC208" s="54"/>
      <c r="BD208" s="20"/>
      <c r="BE208" s="70">
        <v>-11929047.635281689</v>
      </c>
      <c r="BF208" s="178"/>
      <c r="BG208" s="178"/>
      <c r="BH208" s="178"/>
      <c r="BI208" s="178"/>
      <c r="BJ208" s="178"/>
    </row>
    <row r="209" spans="2:62" ht="14.25" thickBot="1" x14ac:dyDescent="0.45">
      <c r="C209" s="64" t="s">
        <v>25</v>
      </c>
      <c r="D209" s="65"/>
      <c r="E209" s="52"/>
      <c r="F209" s="208">
        <f>SUM(F202:F208)</f>
        <v>97524785.153283</v>
      </c>
      <c r="G209" s="54"/>
      <c r="H209" s="20"/>
      <c r="I209" s="208">
        <f>SUM(I202:I208)</f>
        <v>96181987.50999999</v>
      </c>
      <c r="J209" s="54"/>
      <c r="K209" s="20"/>
      <c r="L209" s="208">
        <f>SUM(L202:L208)</f>
        <v>102012055.91999999</v>
      </c>
      <c r="M209" s="54"/>
      <c r="N209" s="20"/>
      <c r="O209" s="208">
        <f>SUM(O202:O208)</f>
        <v>112018463.58058515</v>
      </c>
      <c r="P209" s="54"/>
      <c r="Q209" s="20"/>
      <c r="R209" s="208">
        <f>SUM(R202:R208)</f>
        <v>111141771.30221581</v>
      </c>
      <c r="S209" s="54"/>
      <c r="T209" s="20"/>
      <c r="U209" s="208">
        <f>SUM(U202:U208)</f>
        <v>119757922.66818972</v>
      </c>
      <c r="V209" s="54"/>
      <c r="W209" s="20"/>
      <c r="X209" s="208">
        <f>SUM(X202:X208)</f>
        <v>120102342.31332201</v>
      </c>
      <c r="Y209" s="54"/>
      <c r="Z209" s="20"/>
      <c r="AA209" s="208">
        <f>SUM(AA202:AA208)</f>
        <v>120330773.00544786</v>
      </c>
      <c r="AB209" s="54"/>
      <c r="AC209" s="220">
        <f>132055964-AD209</f>
        <v>3170216.6205553859</v>
      </c>
      <c r="AD209" s="208">
        <f>SUM(AD202:AD208)</f>
        <v>128885747.37944461</v>
      </c>
      <c r="AE209" s="54"/>
      <c r="AF209" s="220">
        <f>132560791-AG209</f>
        <v>3197788.9847543389</v>
      </c>
      <c r="AG209" s="208">
        <f>SUM(AG202:AG208)</f>
        <v>129363002.01524566</v>
      </c>
      <c r="AH209" s="221"/>
      <c r="AI209" s="69"/>
      <c r="AJ209" s="208">
        <f t="shared" si="259"/>
        <v>16132815.728079319</v>
      </c>
      <c r="AK209" s="54"/>
      <c r="AL209" s="20"/>
      <c r="AM209" s="208">
        <f t="shared" si="260"/>
        <v>14622664.316238031</v>
      </c>
      <c r="AN209" s="54"/>
      <c r="AO209" s="69"/>
      <c r="AP209" s="208">
        <f t="shared" si="261"/>
        <v>6137600.0432735682</v>
      </c>
      <c r="AQ209" s="54"/>
      <c r="AR209" s="20"/>
      <c r="AS209" s="208">
        <f t="shared" si="262"/>
        <v>4951368.1557646841</v>
      </c>
      <c r="AT209" s="178"/>
      <c r="AU209" s="69"/>
      <c r="AV209" s="208">
        <v>112752931.6513653</v>
      </c>
      <c r="AW209" s="54"/>
      <c r="AX209" s="20"/>
      <c r="AY209" s="208">
        <v>114740337.69900763</v>
      </c>
      <c r="AZ209" s="178"/>
      <c r="BA209" s="69"/>
      <c r="BB209" s="208">
        <v>122748147.33617105</v>
      </c>
      <c r="BC209" s="54"/>
      <c r="BD209" s="20"/>
      <c r="BE209" s="208">
        <v>124411633.85948098</v>
      </c>
      <c r="BF209" s="178"/>
      <c r="BG209" s="178"/>
      <c r="BH209" s="178"/>
      <c r="BI209" s="178"/>
      <c r="BJ209" s="178"/>
    </row>
    <row r="210" spans="2:62" ht="14.25" thickTop="1" x14ac:dyDescent="0.4">
      <c r="C210" s="222" t="s">
        <v>86</v>
      </c>
      <c r="D210" s="218"/>
      <c r="E210" s="52"/>
      <c r="F210" s="53"/>
      <c r="G210" s="54"/>
      <c r="H210" s="20"/>
      <c r="I210" s="223">
        <f>(I209/F209)-1</f>
        <v>-1.3768783403854568E-2</v>
      </c>
      <c r="J210" s="54"/>
      <c r="K210" s="20"/>
      <c r="L210" s="223">
        <f>(L209/I209)-1</f>
        <v>6.0614971274053131E-2</v>
      </c>
      <c r="M210" s="54"/>
      <c r="N210" s="20"/>
      <c r="O210" s="223">
        <f>(O209/I209)-1</f>
        <v>0.16465116266118596</v>
      </c>
      <c r="P210" s="54"/>
      <c r="Q210" s="20"/>
      <c r="R210" s="223">
        <f>(R209/L209)-1</f>
        <v>8.9496435493619853E-2</v>
      </c>
      <c r="S210" s="54"/>
      <c r="T210" s="20"/>
      <c r="U210" s="223">
        <f>(U209/R209)-1</f>
        <v>7.7523970196092584E-2</v>
      </c>
      <c r="V210" s="54"/>
      <c r="W210" s="20"/>
      <c r="X210" s="223">
        <f>(X209/U209)-1</f>
        <v>2.8759654264089995E-3</v>
      </c>
      <c r="Y210" s="54"/>
      <c r="Z210" s="20"/>
      <c r="AA210" s="223">
        <f>(AA209/X209)-1</f>
        <v>1.9019670035238523E-3</v>
      </c>
      <c r="AB210" s="54"/>
      <c r="AC210" s="224">
        <v>3618380.7236112356</v>
      </c>
      <c r="AD210" s="223">
        <f>(AD209/AA209)-1</f>
        <v>7.1095482562963497E-2</v>
      </c>
      <c r="AE210" s="54"/>
      <c r="AF210" s="224">
        <v>3647789.246824652</v>
      </c>
      <c r="AG210" s="223">
        <f>(AG209/AD209)-1</f>
        <v>3.7029279459115383E-3</v>
      </c>
      <c r="AH210" s="178"/>
      <c r="AI210" s="69"/>
      <c r="AJ210" s="223">
        <f t="shared" si="259"/>
        <v>0.13407057334659445</v>
      </c>
      <c r="AK210" s="54"/>
      <c r="AL210" s="20"/>
      <c r="AM210" s="223">
        <f t="shared" si="260"/>
        <v>-1.3923274925579543E-2</v>
      </c>
      <c r="AN210" s="54"/>
      <c r="AO210" s="69"/>
      <c r="AP210" s="223">
        <f t="shared" si="261"/>
        <v>5.1006071763502137E-2</v>
      </c>
      <c r="AQ210" s="54"/>
      <c r="AR210" s="20"/>
      <c r="AS210" s="223">
        <f t="shared" si="262"/>
        <v>-9.8491016318069669E-3</v>
      </c>
      <c r="AT210" s="178"/>
      <c r="AU210" s="69"/>
      <c r="AV210" s="223">
        <v>-6.2975090783630949E-2</v>
      </c>
      <c r="AW210" s="54"/>
      <c r="AX210" s="20"/>
      <c r="AY210" s="223">
        <v>1.7626202871491081E-2</v>
      </c>
      <c r="AZ210" s="178"/>
      <c r="BA210" s="69"/>
      <c r="BB210" s="223">
        <v>2.008941079946136E-2</v>
      </c>
      <c r="BC210" s="54"/>
      <c r="BD210" s="20"/>
      <c r="BE210" s="223">
        <v>1.3552029577718505E-2</v>
      </c>
      <c r="BF210" s="178"/>
      <c r="BG210" s="178"/>
      <c r="BH210" s="178"/>
      <c r="BI210" s="178"/>
      <c r="BJ210" s="178"/>
    </row>
    <row r="211" spans="2:62" ht="3" customHeight="1" x14ac:dyDescent="0.4">
      <c r="C211" s="222"/>
      <c r="D211" s="218"/>
      <c r="E211" s="52"/>
      <c r="F211" s="53"/>
      <c r="G211" s="54"/>
      <c r="H211" s="20"/>
      <c r="I211" s="223"/>
      <c r="J211" s="54"/>
      <c r="K211" s="20"/>
      <c r="L211" s="223"/>
      <c r="M211" s="54"/>
      <c r="N211" s="20"/>
      <c r="O211" s="223"/>
      <c r="P211" s="54"/>
      <c r="Q211" s="20"/>
      <c r="R211" s="223"/>
      <c r="S211" s="54"/>
      <c r="T211" s="20"/>
      <c r="U211" s="223"/>
      <c r="V211" s="54"/>
      <c r="W211" s="20"/>
      <c r="X211" s="223"/>
      <c r="Y211" s="54"/>
      <c r="Z211" s="20"/>
      <c r="AA211" s="223"/>
      <c r="AB211" s="54"/>
      <c r="AC211" s="225"/>
      <c r="AD211" s="223"/>
      <c r="AE211" s="54"/>
      <c r="AF211" s="225"/>
      <c r="AG211" s="223"/>
      <c r="AH211" s="178"/>
      <c r="AI211" s="69"/>
      <c r="AJ211" s="223"/>
      <c r="AK211" s="54"/>
      <c r="AL211" s="20"/>
      <c r="AM211" s="223"/>
      <c r="AN211" s="54"/>
      <c r="AO211" s="69"/>
      <c r="AP211" s="223"/>
      <c r="AQ211" s="54"/>
      <c r="AR211" s="20"/>
      <c r="AS211" s="223"/>
      <c r="AT211" s="178"/>
      <c r="AU211" s="69"/>
      <c r="AV211" s="223"/>
      <c r="AW211" s="54"/>
      <c r="AX211" s="20"/>
      <c r="AY211" s="223"/>
      <c r="AZ211" s="178"/>
      <c r="BA211" s="69"/>
      <c r="BB211" s="223"/>
      <c r="BC211" s="54"/>
      <c r="BD211" s="20"/>
      <c r="BE211" s="223"/>
      <c r="BF211" s="178"/>
      <c r="BG211" s="178"/>
      <c r="BH211" s="178"/>
      <c r="BI211" s="178"/>
      <c r="BJ211" s="178"/>
    </row>
    <row r="212" spans="2:62" x14ac:dyDescent="0.4">
      <c r="B212" s="2" t="s">
        <v>87</v>
      </c>
      <c r="C212" s="226"/>
      <c r="D212" s="227"/>
      <c r="E212" s="52"/>
      <c r="F212" s="53"/>
      <c r="G212" s="54"/>
      <c r="H212" s="228"/>
      <c r="I212" s="70"/>
      <c r="J212" s="72"/>
      <c r="K212" s="229"/>
      <c r="L212" s="70"/>
      <c r="M212" s="54"/>
      <c r="N212" s="229"/>
      <c r="O212" s="70"/>
      <c r="P212" s="54"/>
      <c r="Q212" s="20"/>
      <c r="R212" s="223"/>
      <c r="S212" s="54"/>
      <c r="T212" s="20"/>
      <c r="U212" s="53"/>
      <c r="V212" s="54"/>
      <c r="W212" s="20"/>
      <c r="X212" s="53"/>
      <c r="Y212" s="54"/>
      <c r="Z212" s="20"/>
      <c r="AA212" s="53"/>
      <c r="AB212" s="54"/>
      <c r="AC212" s="230">
        <v>-448164.10305584967</v>
      </c>
      <c r="AD212" s="231"/>
      <c r="AE212" s="54"/>
      <c r="AF212" s="230">
        <v>-450000.2620703131</v>
      </c>
      <c r="AG212" s="231"/>
      <c r="AH212" s="178"/>
      <c r="AI212" s="69"/>
      <c r="AJ212" s="53"/>
      <c r="AK212" s="54"/>
      <c r="AL212" s="20"/>
      <c r="AM212" s="53"/>
      <c r="AN212" s="54"/>
      <c r="AO212" s="69"/>
      <c r="AP212" s="53"/>
      <c r="AQ212" s="54"/>
      <c r="AR212" s="20"/>
      <c r="AS212" s="53"/>
      <c r="AT212" s="178"/>
      <c r="AU212" s="69"/>
      <c r="AV212" s="53"/>
      <c r="AW212" s="54"/>
      <c r="AX212" s="20"/>
      <c r="AY212" s="53"/>
      <c r="AZ212" s="178"/>
      <c r="BA212" s="69"/>
      <c r="BB212" s="53"/>
      <c r="BC212" s="54"/>
      <c r="BD212" s="20"/>
      <c r="BE212" s="53"/>
      <c r="BF212" s="178"/>
      <c r="BG212" s="178"/>
      <c r="BH212" s="178"/>
      <c r="BI212" s="178"/>
      <c r="BJ212" s="178"/>
    </row>
    <row r="213" spans="2:62" x14ac:dyDescent="0.4">
      <c r="C213" s="56" t="s">
        <v>17</v>
      </c>
      <c r="D213" s="57"/>
      <c r="E213" s="52"/>
      <c r="F213" s="232">
        <v>1.0430310698432668</v>
      </c>
      <c r="G213" s="54"/>
      <c r="H213" s="20"/>
      <c r="I213" s="232">
        <v>1.0430310698432668</v>
      </c>
      <c r="J213" s="54"/>
      <c r="K213" s="20"/>
      <c r="L213" s="232">
        <v>1.0430310698432668</v>
      </c>
      <c r="M213" s="54"/>
      <c r="N213" s="20"/>
      <c r="O213" s="232">
        <v>1.0486</v>
      </c>
      <c r="P213" s="54"/>
      <c r="Q213" s="20"/>
      <c r="R213" s="233">
        <v>1.0486</v>
      </c>
      <c r="S213" s="54"/>
      <c r="T213" s="20"/>
      <c r="U213" s="232">
        <v>1.0486</v>
      </c>
      <c r="V213" s="54"/>
      <c r="W213" s="20"/>
      <c r="X213" s="232">
        <f>U213</f>
        <v>1.0486</v>
      </c>
      <c r="Y213" s="54"/>
      <c r="Z213" s="20"/>
      <c r="AA213" s="232">
        <f>X213</f>
        <v>1.0486</v>
      </c>
      <c r="AB213" s="54"/>
      <c r="AC213" s="20"/>
      <c r="AD213" s="156">
        <f>AA213</f>
        <v>1.0486</v>
      </c>
      <c r="AE213" s="54"/>
      <c r="AF213" s="20"/>
      <c r="AG213" s="234">
        <f>AD213</f>
        <v>1.0486</v>
      </c>
      <c r="AH213" s="178"/>
      <c r="AI213" s="69"/>
      <c r="AJ213" s="232">
        <f t="shared" ref="AJ213:AJ220" si="263">AD213-AV213</f>
        <v>1.2699999999999934E-2</v>
      </c>
      <c r="AK213" s="54"/>
      <c r="AL213" s="20"/>
      <c r="AM213" s="232">
        <f t="shared" ref="AM213:AM220" si="264">AG213-AY213</f>
        <v>1.2699999999999934E-2</v>
      </c>
      <c r="AN213" s="54"/>
      <c r="AO213" s="69"/>
      <c r="AP213" s="232">
        <f t="shared" ref="AP213:AP220" si="265">AD213-BB213</f>
        <v>0</v>
      </c>
      <c r="AQ213" s="54"/>
      <c r="AR213" s="20"/>
      <c r="AS213" s="232">
        <f t="shared" ref="AS213:AS220" si="266">AG213-BE213</f>
        <v>0</v>
      </c>
      <c r="AT213" s="178"/>
      <c r="AU213" s="69"/>
      <c r="AV213" s="156">
        <v>1.0359</v>
      </c>
      <c r="AW213" s="54"/>
      <c r="AX213" s="20"/>
      <c r="AY213" s="234">
        <v>1.0359</v>
      </c>
      <c r="AZ213" s="178"/>
      <c r="BA213" s="69"/>
      <c r="BB213" s="232">
        <v>1.0486</v>
      </c>
      <c r="BC213" s="54"/>
      <c r="BD213" s="20"/>
      <c r="BE213" s="232">
        <v>1.0486</v>
      </c>
      <c r="BF213" s="178"/>
      <c r="BG213" s="178"/>
      <c r="BH213" s="178"/>
      <c r="BI213" s="178"/>
      <c r="BJ213" s="178"/>
    </row>
    <row r="214" spans="2:62" x14ac:dyDescent="0.4">
      <c r="C214" s="56" t="s">
        <v>18</v>
      </c>
      <c r="D214" s="57"/>
      <c r="E214" s="52"/>
      <c r="F214" s="232">
        <v>1.0430310698432668</v>
      </c>
      <c r="G214" s="54"/>
      <c r="H214" s="20"/>
      <c r="I214" s="232">
        <v>1.0430310698432668</v>
      </c>
      <c r="J214" s="54"/>
      <c r="K214" s="20"/>
      <c r="L214" s="232">
        <v>1.0430310698432668</v>
      </c>
      <c r="M214" s="54"/>
      <c r="N214" s="20"/>
      <c r="O214" s="232">
        <v>1.0486</v>
      </c>
      <c r="P214" s="54"/>
      <c r="Q214" s="20"/>
      <c r="R214" s="233">
        <f>R$213</f>
        <v>1.0486</v>
      </c>
      <c r="S214" s="54"/>
      <c r="T214" s="20"/>
      <c r="U214" s="232">
        <f>U$213</f>
        <v>1.0486</v>
      </c>
      <c r="V214" s="54"/>
      <c r="W214" s="20"/>
      <c r="X214" s="232">
        <f t="shared" ref="X214:X220" si="267">U214</f>
        <v>1.0486</v>
      </c>
      <c r="Y214" s="54"/>
      <c r="Z214" s="20"/>
      <c r="AA214" s="232">
        <f t="shared" ref="AA214:AA220" si="268">X214</f>
        <v>1.0486</v>
      </c>
      <c r="AB214" s="54"/>
      <c r="AC214" s="20"/>
      <c r="AD214" s="234">
        <f>AD$213</f>
        <v>1.0486</v>
      </c>
      <c r="AE214" s="54"/>
      <c r="AF214" s="20"/>
      <c r="AG214" s="234">
        <f t="shared" ref="AG214:AG220" si="269">AD214</f>
        <v>1.0486</v>
      </c>
      <c r="AH214" s="178"/>
      <c r="AI214" s="69"/>
      <c r="AJ214" s="232">
        <f t="shared" si="263"/>
        <v>1.2699999999999934E-2</v>
      </c>
      <c r="AK214" s="54"/>
      <c r="AL214" s="20"/>
      <c r="AM214" s="232">
        <f t="shared" si="264"/>
        <v>1.2699999999999934E-2</v>
      </c>
      <c r="AN214" s="54"/>
      <c r="AO214" s="69"/>
      <c r="AP214" s="232">
        <f t="shared" si="265"/>
        <v>0</v>
      </c>
      <c r="AQ214" s="54"/>
      <c r="AR214" s="20"/>
      <c r="AS214" s="232">
        <f t="shared" si="266"/>
        <v>0</v>
      </c>
      <c r="AT214" s="178"/>
      <c r="AU214" s="69"/>
      <c r="AV214" s="234">
        <v>1.0359</v>
      </c>
      <c r="AW214" s="54"/>
      <c r="AX214" s="20"/>
      <c r="AY214" s="234">
        <v>1.0359</v>
      </c>
      <c r="AZ214" s="178"/>
      <c r="BA214" s="69"/>
      <c r="BB214" s="232">
        <v>1.0486</v>
      </c>
      <c r="BC214" s="54"/>
      <c r="BD214" s="20"/>
      <c r="BE214" s="232">
        <v>1.0486</v>
      </c>
      <c r="BF214" s="178"/>
      <c r="BG214" s="178"/>
      <c r="BH214" s="178"/>
      <c r="BI214" s="178"/>
      <c r="BJ214" s="178"/>
    </row>
    <row r="215" spans="2:62" x14ac:dyDescent="0.4">
      <c r="C215" s="56" t="s">
        <v>19</v>
      </c>
      <c r="D215" s="57"/>
      <c r="E215" s="52"/>
      <c r="F215" s="232">
        <v>1.0430310698432668</v>
      </c>
      <c r="G215" s="54"/>
      <c r="H215" s="20"/>
      <c r="I215" s="232">
        <v>1.0430310698432668</v>
      </c>
      <c r="J215" s="54"/>
      <c r="K215" s="20"/>
      <c r="L215" s="232">
        <v>1.0430310698432668</v>
      </c>
      <c r="M215" s="54"/>
      <c r="N215" s="20"/>
      <c r="O215" s="232">
        <v>1.0486</v>
      </c>
      <c r="P215" s="54"/>
      <c r="Q215" s="20"/>
      <c r="R215" s="233">
        <f t="shared" ref="R215:R220" si="270">R$213</f>
        <v>1.0486</v>
      </c>
      <c r="S215" s="54"/>
      <c r="T215" s="20"/>
      <c r="U215" s="232">
        <f t="shared" ref="U215:U216" si="271">U$213</f>
        <v>1.0486</v>
      </c>
      <c r="V215" s="54"/>
      <c r="W215" s="20"/>
      <c r="X215" s="232">
        <f t="shared" si="267"/>
        <v>1.0486</v>
      </c>
      <c r="Y215" s="54"/>
      <c r="Z215" s="20"/>
      <c r="AA215" s="232">
        <f t="shared" si="268"/>
        <v>1.0486</v>
      </c>
      <c r="AB215" s="54"/>
      <c r="AC215" s="20"/>
      <c r="AD215" s="234">
        <f t="shared" ref="AD215:AD220" si="272">AD$213</f>
        <v>1.0486</v>
      </c>
      <c r="AE215" s="54"/>
      <c r="AF215" s="20"/>
      <c r="AG215" s="234">
        <f t="shared" si="269"/>
        <v>1.0486</v>
      </c>
      <c r="AH215" s="178"/>
      <c r="AI215" s="69"/>
      <c r="AJ215" s="232">
        <f t="shared" si="263"/>
        <v>1.2699999999999934E-2</v>
      </c>
      <c r="AK215" s="54"/>
      <c r="AL215" s="20"/>
      <c r="AM215" s="232">
        <f t="shared" si="264"/>
        <v>1.2699999999999934E-2</v>
      </c>
      <c r="AN215" s="54"/>
      <c r="AO215" s="69"/>
      <c r="AP215" s="232">
        <f t="shared" si="265"/>
        <v>0</v>
      </c>
      <c r="AQ215" s="54"/>
      <c r="AR215" s="20"/>
      <c r="AS215" s="232">
        <f t="shared" si="266"/>
        <v>0</v>
      </c>
      <c r="AT215" s="178"/>
      <c r="AU215" s="69"/>
      <c r="AV215" s="234">
        <v>1.0359</v>
      </c>
      <c r="AW215" s="54"/>
      <c r="AX215" s="20"/>
      <c r="AY215" s="234">
        <v>1.0359</v>
      </c>
      <c r="AZ215" s="178"/>
      <c r="BA215" s="69"/>
      <c r="BB215" s="232">
        <v>1.0486</v>
      </c>
      <c r="BC215" s="54"/>
      <c r="BD215" s="20"/>
      <c r="BE215" s="232">
        <v>1.0486</v>
      </c>
      <c r="BF215" s="178"/>
      <c r="BG215" s="178"/>
      <c r="BH215" s="178"/>
      <c r="BI215" s="178"/>
      <c r="BJ215" s="178"/>
    </row>
    <row r="216" spans="2:62" x14ac:dyDescent="0.4">
      <c r="C216" s="56" t="s">
        <v>20</v>
      </c>
      <c r="D216" s="57"/>
      <c r="E216" s="52"/>
      <c r="F216" s="232">
        <v>1.0430310698432668</v>
      </c>
      <c r="G216" s="54"/>
      <c r="H216" s="20"/>
      <c r="I216" s="232">
        <v>1.0430310698432668</v>
      </c>
      <c r="J216" s="54"/>
      <c r="K216" s="20"/>
      <c r="L216" s="232">
        <v>1.0430310698432668</v>
      </c>
      <c r="M216" s="54"/>
      <c r="N216" s="20"/>
      <c r="O216" s="232">
        <v>1.0486</v>
      </c>
      <c r="P216" s="54"/>
      <c r="Q216" s="20"/>
      <c r="R216" s="233">
        <f t="shared" si="270"/>
        <v>1.0486</v>
      </c>
      <c r="S216" s="54"/>
      <c r="T216" s="20"/>
      <c r="U216" s="232">
        <f t="shared" si="271"/>
        <v>1.0486</v>
      </c>
      <c r="V216" s="54"/>
      <c r="W216" s="20"/>
      <c r="X216" s="232">
        <f t="shared" si="267"/>
        <v>1.0486</v>
      </c>
      <c r="Y216" s="54"/>
      <c r="Z216" s="20"/>
      <c r="AA216" s="232">
        <f t="shared" si="268"/>
        <v>1.0486</v>
      </c>
      <c r="AB216" s="54"/>
      <c r="AC216" s="20"/>
      <c r="AD216" s="234">
        <f t="shared" si="272"/>
        <v>1.0486</v>
      </c>
      <c r="AE216" s="54"/>
      <c r="AF216" s="20"/>
      <c r="AG216" s="234">
        <f t="shared" si="269"/>
        <v>1.0486</v>
      </c>
      <c r="AH216" s="178"/>
      <c r="AI216" s="69"/>
      <c r="AJ216" s="232">
        <f t="shared" si="263"/>
        <v>1.2699999999999934E-2</v>
      </c>
      <c r="AK216" s="54"/>
      <c r="AL216" s="20"/>
      <c r="AM216" s="232">
        <f t="shared" si="264"/>
        <v>1.2699999999999934E-2</v>
      </c>
      <c r="AN216" s="54"/>
      <c r="AO216" s="69"/>
      <c r="AP216" s="232">
        <f t="shared" si="265"/>
        <v>0</v>
      </c>
      <c r="AQ216" s="54"/>
      <c r="AR216" s="20"/>
      <c r="AS216" s="232">
        <f t="shared" si="266"/>
        <v>0</v>
      </c>
      <c r="AT216" s="178"/>
      <c r="AU216" s="69"/>
      <c r="AV216" s="234">
        <v>1.0359</v>
      </c>
      <c r="AW216" s="54"/>
      <c r="AX216" s="20"/>
      <c r="AY216" s="234">
        <v>1.0359</v>
      </c>
      <c r="AZ216" s="178"/>
      <c r="BA216" s="69"/>
      <c r="BB216" s="232">
        <v>1.0486</v>
      </c>
      <c r="BC216" s="54"/>
      <c r="BD216" s="20"/>
      <c r="BE216" s="232">
        <v>1.0486</v>
      </c>
      <c r="BF216" s="178"/>
      <c r="BG216" s="178"/>
      <c r="BH216" s="178"/>
      <c r="BI216" s="178"/>
      <c r="BJ216" s="178"/>
    </row>
    <row r="217" spans="2:62" x14ac:dyDescent="0.4">
      <c r="C217" s="56" t="s">
        <v>21</v>
      </c>
      <c r="D217" s="57"/>
      <c r="E217" s="52"/>
      <c r="F217" s="232">
        <v>1.0145</v>
      </c>
      <c r="G217" s="54"/>
      <c r="H217" s="20"/>
      <c r="I217" s="232">
        <v>1.0145</v>
      </c>
      <c r="J217" s="54"/>
      <c r="K217" s="20"/>
      <c r="L217" s="232">
        <v>1.0145</v>
      </c>
      <c r="M217" s="54"/>
      <c r="N217" s="20"/>
      <c r="O217" s="232">
        <v>1.0486</v>
      </c>
      <c r="P217" s="54"/>
      <c r="Q217" s="20"/>
      <c r="R217" s="233">
        <f t="shared" si="270"/>
        <v>1.0486</v>
      </c>
      <c r="S217" s="54"/>
      <c r="T217" s="20"/>
      <c r="U217" s="232">
        <f>U216</f>
        <v>1.0486</v>
      </c>
      <c r="V217" s="54"/>
      <c r="W217" s="20"/>
      <c r="X217" s="232">
        <f t="shared" si="267"/>
        <v>1.0486</v>
      </c>
      <c r="Y217" s="54"/>
      <c r="Z217" s="20"/>
      <c r="AA217" s="232">
        <f t="shared" si="268"/>
        <v>1.0486</v>
      </c>
      <c r="AB217" s="54"/>
      <c r="AC217" s="20"/>
      <c r="AD217" s="234">
        <f t="shared" si="272"/>
        <v>1.0486</v>
      </c>
      <c r="AE217" s="54"/>
      <c r="AF217" s="20"/>
      <c r="AG217" s="234">
        <f t="shared" si="269"/>
        <v>1.0486</v>
      </c>
      <c r="AH217" s="178"/>
      <c r="AI217" s="69"/>
      <c r="AJ217" s="233">
        <f t="shared" si="263"/>
        <v>1.2699999999999934E-2</v>
      </c>
      <c r="AK217" s="54"/>
      <c r="AL217" s="20"/>
      <c r="AM217" s="233">
        <f t="shared" si="264"/>
        <v>1.2699999999999934E-2</v>
      </c>
      <c r="AN217" s="54"/>
      <c r="AO217" s="69"/>
      <c r="AP217" s="233">
        <f t="shared" si="265"/>
        <v>0</v>
      </c>
      <c r="AQ217" s="54"/>
      <c r="AR217" s="20"/>
      <c r="AS217" s="233">
        <f t="shared" si="266"/>
        <v>0</v>
      </c>
      <c r="AT217" s="178"/>
      <c r="AU217" s="69"/>
      <c r="AV217" s="234">
        <v>1.0359</v>
      </c>
      <c r="AW217" s="54"/>
      <c r="AX217" s="20"/>
      <c r="AY217" s="234">
        <v>1.0359</v>
      </c>
      <c r="AZ217" s="178"/>
      <c r="BA217" s="69"/>
      <c r="BB217" s="233">
        <v>1.0486</v>
      </c>
      <c r="BC217" s="54"/>
      <c r="BD217" s="20"/>
      <c r="BE217" s="233">
        <v>1.0486</v>
      </c>
      <c r="BF217" s="178"/>
      <c r="BG217" s="178"/>
      <c r="BH217" s="178"/>
      <c r="BI217" s="178"/>
      <c r="BJ217" s="178"/>
    </row>
    <row r="218" spans="2:62" x14ac:dyDescent="0.4">
      <c r="C218" s="56" t="s">
        <v>22</v>
      </c>
      <c r="D218" s="57"/>
      <c r="E218" s="52"/>
      <c r="F218" s="232">
        <v>1.0430310698432668</v>
      </c>
      <c r="G218" s="54"/>
      <c r="H218" s="20"/>
      <c r="I218" s="232">
        <v>1.0430310698432668</v>
      </c>
      <c r="J218" s="54"/>
      <c r="K218" s="20"/>
      <c r="L218" s="232">
        <v>1.0430310698432668</v>
      </c>
      <c r="M218" s="54"/>
      <c r="N218" s="20"/>
      <c r="O218" s="232">
        <v>1.0486</v>
      </c>
      <c r="P218" s="54"/>
      <c r="Q218" s="20"/>
      <c r="R218" s="233">
        <f t="shared" si="270"/>
        <v>1.0486</v>
      </c>
      <c r="S218" s="54"/>
      <c r="T218" s="20"/>
      <c r="U218" s="232">
        <f t="shared" ref="U218:U220" si="273">U$213</f>
        <v>1.0486</v>
      </c>
      <c r="V218" s="54"/>
      <c r="W218" s="20"/>
      <c r="X218" s="232">
        <f t="shared" si="267"/>
        <v>1.0486</v>
      </c>
      <c r="Y218" s="54"/>
      <c r="Z218" s="20"/>
      <c r="AA218" s="232">
        <f t="shared" si="268"/>
        <v>1.0486</v>
      </c>
      <c r="AB218" s="54"/>
      <c r="AC218" s="20"/>
      <c r="AD218" s="234">
        <f t="shared" si="272"/>
        <v>1.0486</v>
      </c>
      <c r="AE218" s="54"/>
      <c r="AF218" s="20"/>
      <c r="AG218" s="234">
        <f t="shared" si="269"/>
        <v>1.0486</v>
      </c>
      <c r="AH218" s="178"/>
      <c r="AI218" s="69"/>
      <c r="AJ218" s="232">
        <f t="shared" si="263"/>
        <v>1.2699999999999934E-2</v>
      </c>
      <c r="AK218" s="54"/>
      <c r="AL218" s="20"/>
      <c r="AM218" s="232">
        <f t="shared" si="264"/>
        <v>1.2699999999999934E-2</v>
      </c>
      <c r="AN218" s="54"/>
      <c r="AO218" s="69"/>
      <c r="AP218" s="232">
        <f t="shared" si="265"/>
        <v>0</v>
      </c>
      <c r="AQ218" s="54"/>
      <c r="AR218" s="20"/>
      <c r="AS218" s="232">
        <f t="shared" si="266"/>
        <v>0</v>
      </c>
      <c r="AT218" s="178"/>
      <c r="AU218" s="69"/>
      <c r="AV218" s="234">
        <v>1.0359</v>
      </c>
      <c r="AW218" s="54"/>
      <c r="AX218" s="20"/>
      <c r="AY218" s="234">
        <v>1.0359</v>
      </c>
      <c r="AZ218" s="178"/>
      <c r="BA218" s="69"/>
      <c r="BB218" s="232">
        <v>1.0486</v>
      </c>
      <c r="BC218" s="54"/>
      <c r="BD218" s="20"/>
      <c r="BE218" s="232">
        <v>1.0486</v>
      </c>
      <c r="BF218" s="178"/>
      <c r="BG218" s="178"/>
      <c r="BH218" s="178"/>
      <c r="BI218" s="178"/>
      <c r="BJ218" s="178"/>
    </row>
    <row r="219" spans="2:62" x14ac:dyDescent="0.4">
      <c r="C219" s="56" t="s">
        <v>23</v>
      </c>
      <c r="D219" s="57"/>
      <c r="E219" s="52"/>
      <c r="F219" s="232">
        <v>1.0430310698432668</v>
      </c>
      <c r="G219" s="54"/>
      <c r="H219" s="20"/>
      <c r="I219" s="232">
        <v>1.0430310698432668</v>
      </c>
      <c r="J219" s="54"/>
      <c r="K219" s="20"/>
      <c r="L219" s="232">
        <v>1.0430310698432668</v>
      </c>
      <c r="M219" s="54"/>
      <c r="N219" s="20"/>
      <c r="O219" s="232">
        <v>1.0486</v>
      </c>
      <c r="P219" s="54"/>
      <c r="Q219" s="20"/>
      <c r="R219" s="233">
        <f t="shared" si="270"/>
        <v>1.0486</v>
      </c>
      <c r="S219" s="54"/>
      <c r="T219" s="20"/>
      <c r="U219" s="232">
        <f t="shared" si="273"/>
        <v>1.0486</v>
      </c>
      <c r="V219" s="54"/>
      <c r="W219" s="20"/>
      <c r="X219" s="232">
        <f t="shared" si="267"/>
        <v>1.0486</v>
      </c>
      <c r="Y219" s="54"/>
      <c r="Z219" s="20"/>
      <c r="AA219" s="232">
        <f t="shared" si="268"/>
        <v>1.0486</v>
      </c>
      <c r="AB219" s="54"/>
      <c r="AC219" s="20"/>
      <c r="AD219" s="234">
        <f t="shared" si="272"/>
        <v>1.0486</v>
      </c>
      <c r="AE219" s="54"/>
      <c r="AF219" s="20"/>
      <c r="AG219" s="234">
        <f t="shared" si="269"/>
        <v>1.0486</v>
      </c>
      <c r="AH219" s="178"/>
      <c r="AI219" s="69"/>
      <c r="AJ219" s="232">
        <f t="shared" si="263"/>
        <v>1.2699999999999934E-2</v>
      </c>
      <c r="AK219" s="54"/>
      <c r="AL219" s="20"/>
      <c r="AM219" s="232">
        <f t="shared" si="264"/>
        <v>1.2699999999999934E-2</v>
      </c>
      <c r="AN219" s="54"/>
      <c r="AO219" s="69"/>
      <c r="AP219" s="232">
        <f t="shared" si="265"/>
        <v>0</v>
      </c>
      <c r="AQ219" s="54"/>
      <c r="AR219" s="20"/>
      <c r="AS219" s="232">
        <f t="shared" si="266"/>
        <v>0</v>
      </c>
      <c r="AT219" s="178"/>
      <c r="AU219" s="69"/>
      <c r="AV219" s="234">
        <v>1.0359</v>
      </c>
      <c r="AW219" s="54"/>
      <c r="AX219" s="20"/>
      <c r="AY219" s="234">
        <v>1.0359</v>
      </c>
      <c r="AZ219" s="178"/>
      <c r="BA219" s="69"/>
      <c r="BB219" s="232">
        <v>1.0486</v>
      </c>
      <c r="BC219" s="54"/>
      <c r="BD219" s="20"/>
      <c r="BE219" s="232">
        <v>1.0486</v>
      </c>
      <c r="BF219" s="178"/>
      <c r="BG219" s="178"/>
      <c r="BH219" s="178"/>
      <c r="BI219" s="178"/>
      <c r="BJ219" s="178"/>
    </row>
    <row r="220" spans="2:62" x14ac:dyDescent="0.4">
      <c r="C220" s="56" t="s">
        <v>24</v>
      </c>
      <c r="D220" s="57"/>
      <c r="E220" s="52"/>
      <c r="F220" s="232">
        <v>1.0430310698432668</v>
      </c>
      <c r="G220" s="54"/>
      <c r="H220" s="20"/>
      <c r="I220" s="232">
        <v>1.0430310698432668</v>
      </c>
      <c r="J220" s="54"/>
      <c r="K220" s="20"/>
      <c r="L220" s="232">
        <v>1.0430310698432668</v>
      </c>
      <c r="M220" s="54"/>
      <c r="N220" s="20"/>
      <c r="O220" s="232">
        <v>1.0486</v>
      </c>
      <c r="P220" s="54"/>
      <c r="Q220" s="20"/>
      <c r="R220" s="233">
        <f t="shared" si="270"/>
        <v>1.0486</v>
      </c>
      <c r="S220" s="54"/>
      <c r="T220" s="20"/>
      <c r="U220" s="232">
        <f t="shared" si="273"/>
        <v>1.0486</v>
      </c>
      <c r="V220" s="54"/>
      <c r="W220" s="20"/>
      <c r="X220" s="232">
        <f t="shared" si="267"/>
        <v>1.0486</v>
      </c>
      <c r="Y220" s="54"/>
      <c r="Z220" s="20"/>
      <c r="AA220" s="232">
        <f t="shared" si="268"/>
        <v>1.0486</v>
      </c>
      <c r="AB220" s="54"/>
      <c r="AC220" s="20"/>
      <c r="AD220" s="234">
        <f t="shared" si="272"/>
        <v>1.0486</v>
      </c>
      <c r="AE220" s="54"/>
      <c r="AF220" s="20"/>
      <c r="AG220" s="234">
        <f t="shared" si="269"/>
        <v>1.0486</v>
      </c>
      <c r="AH220" s="178"/>
      <c r="AI220" s="69"/>
      <c r="AJ220" s="232">
        <f t="shared" si="263"/>
        <v>1.2699999999999934E-2</v>
      </c>
      <c r="AK220" s="54"/>
      <c r="AL220" s="20"/>
      <c r="AM220" s="232">
        <f t="shared" si="264"/>
        <v>1.2699999999999934E-2</v>
      </c>
      <c r="AN220" s="54"/>
      <c r="AO220" s="69"/>
      <c r="AP220" s="232">
        <f t="shared" si="265"/>
        <v>0</v>
      </c>
      <c r="AQ220" s="54"/>
      <c r="AR220" s="20"/>
      <c r="AS220" s="232">
        <f t="shared" si="266"/>
        <v>0</v>
      </c>
      <c r="AT220" s="178"/>
      <c r="AU220" s="69"/>
      <c r="AV220" s="234">
        <v>1.0359</v>
      </c>
      <c r="AW220" s="54"/>
      <c r="AX220" s="20"/>
      <c r="AY220" s="234">
        <v>1.0359</v>
      </c>
      <c r="AZ220" s="178"/>
      <c r="BA220" s="69"/>
      <c r="BB220" s="232">
        <v>1.0486</v>
      </c>
      <c r="BC220" s="54"/>
      <c r="BD220" s="20"/>
      <c r="BE220" s="232">
        <v>1.0486</v>
      </c>
      <c r="BF220" s="178"/>
      <c r="BG220" s="178"/>
      <c r="BH220" s="178"/>
      <c r="BI220" s="178"/>
      <c r="BJ220" s="178"/>
    </row>
    <row r="221" spans="2:62" x14ac:dyDescent="0.4">
      <c r="C221" s="235"/>
      <c r="D221" s="236"/>
      <c r="E221" s="52"/>
      <c r="F221" s="53"/>
      <c r="G221" s="54"/>
      <c r="H221" s="20"/>
      <c r="I221" s="53"/>
      <c r="J221" s="54"/>
      <c r="K221" s="20"/>
      <c r="L221" s="53"/>
      <c r="M221" s="54"/>
      <c r="N221" s="20"/>
      <c r="O221" s="53"/>
      <c r="P221" s="54"/>
      <c r="Q221" s="20"/>
      <c r="R221" s="53"/>
      <c r="S221" s="54"/>
      <c r="T221" s="20"/>
      <c r="U221" s="53"/>
      <c r="V221" s="54"/>
      <c r="W221" s="20"/>
      <c r="X221" s="53"/>
      <c r="Y221" s="54"/>
      <c r="Z221" s="20"/>
      <c r="AA221" s="53"/>
      <c r="AB221" s="54"/>
      <c r="AC221" s="20"/>
      <c r="AD221" s="53"/>
      <c r="AE221" s="54"/>
      <c r="AF221" s="20"/>
      <c r="AG221" s="53"/>
      <c r="AH221" s="178"/>
      <c r="AI221" s="69"/>
      <c r="AJ221" s="53"/>
      <c r="AK221" s="54"/>
      <c r="AL221" s="20"/>
      <c r="AM221" s="53"/>
      <c r="AN221" s="54"/>
      <c r="AO221" s="69"/>
      <c r="AP221" s="53"/>
      <c r="AQ221" s="54"/>
      <c r="AR221" s="20"/>
      <c r="AS221" s="53"/>
      <c r="AT221" s="178"/>
      <c r="AU221" s="69"/>
      <c r="AV221" s="53"/>
      <c r="AW221" s="54"/>
      <c r="AX221" s="20"/>
      <c r="AY221" s="53"/>
      <c r="AZ221" s="178"/>
      <c r="BA221" s="69"/>
      <c r="BB221" s="53"/>
      <c r="BC221" s="54"/>
      <c r="BD221" s="20"/>
      <c r="BE221" s="53"/>
      <c r="BF221" s="178"/>
      <c r="BG221" s="178"/>
      <c r="BH221" s="178"/>
      <c r="BI221" s="178"/>
      <c r="BJ221" s="178"/>
    </row>
    <row r="222" spans="2:62" x14ac:dyDescent="0.4">
      <c r="B222" s="2" t="s">
        <v>88</v>
      </c>
      <c r="C222" s="226"/>
      <c r="D222" s="227"/>
      <c r="E222" s="237" t="s">
        <v>89</v>
      </c>
      <c r="F222" s="238" t="s">
        <v>90</v>
      </c>
      <c r="G222" s="54"/>
      <c r="H222" s="237" t="s">
        <v>89</v>
      </c>
      <c r="I222" s="238" t="s">
        <v>90</v>
      </c>
      <c r="J222" s="54"/>
      <c r="K222" s="237" t="s">
        <v>89</v>
      </c>
      <c r="L222" s="238" t="s">
        <v>90</v>
      </c>
      <c r="M222" s="54"/>
      <c r="N222" s="237" t="s">
        <v>89</v>
      </c>
      <c r="O222" s="238" t="s">
        <v>90</v>
      </c>
      <c r="P222" s="54"/>
      <c r="Q222" s="237" t="s">
        <v>89</v>
      </c>
      <c r="R222" s="238" t="s">
        <v>90</v>
      </c>
      <c r="S222" s="54"/>
      <c r="T222" s="237" t="s">
        <v>89</v>
      </c>
      <c r="U222" s="238" t="s">
        <v>90</v>
      </c>
      <c r="V222" s="54"/>
      <c r="W222" s="237" t="s">
        <v>89</v>
      </c>
      <c r="X222" s="238" t="s">
        <v>90</v>
      </c>
      <c r="Y222" s="54"/>
      <c r="Z222" s="237" t="s">
        <v>89</v>
      </c>
      <c r="AA222" s="238" t="s">
        <v>90</v>
      </c>
      <c r="AB222" s="54"/>
      <c r="AC222" s="237" t="s">
        <v>89</v>
      </c>
      <c r="AD222" s="238" t="s">
        <v>90</v>
      </c>
      <c r="AE222" s="54"/>
      <c r="AF222" s="237" t="s">
        <v>89</v>
      </c>
      <c r="AG222" s="238" t="s">
        <v>90</v>
      </c>
      <c r="AH222" s="178"/>
      <c r="AI222" s="239" t="s">
        <v>89</v>
      </c>
      <c r="AJ222" s="238" t="s">
        <v>90</v>
      </c>
      <c r="AK222" s="54"/>
      <c r="AL222" s="237" t="s">
        <v>89</v>
      </c>
      <c r="AM222" s="238" t="s">
        <v>90</v>
      </c>
      <c r="AN222" s="54"/>
      <c r="AO222" s="239" t="s">
        <v>89</v>
      </c>
      <c r="AP222" s="238" t="s">
        <v>90</v>
      </c>
      <c r="AQ222" s="54"/>
      <c r="AR222" s="237" t="s">
        <v>89</v>
      </c>
      <c r="AS222" s="238" t="s">
        <v>90</v>
      </c>
      <c r="AT222" s="178"/>
      <c r="AU222" s="239" t="s">
        <v>89</v>
      </c>
      <c r="AV222" s="238" t="s">
        <v>90</v>
      </c>
      <c r="AW222" s="54"/>
      <c r="AX222" s="237" t="s">
        <v>89</v>
      </c>
      <c r="AY222" s="238" t="s">
        <v>90</v>
      </c>
      <c r="AZ222" s="178"/>
      <c r="BA222" s="239" t="s">
        <v>89</v>
      </c>
      <c r="BB222" s="238" t="s">
        <v>90</v>
      </c>
      <c r="BC222" s="54"/>
      <c r="BD222" s="237" t="s">
        <v>89</v>
      </c>
      <c r="BE222" s="238" t="s">
        <v>90</v>
      </c>
      <c r="BF222" s="178"/>
      <c r="BG222" s="178"/>
      <c r="BH222" s="178"/>
      <c r="BI222" s="178"/>
      <c r="BJ222" s="178"/>
    </row>
    <row r="223" spans="2:62" x14ac:dyDescent="0.4">
      <c r="C223" s="56" t="s">
        <v>17</v>
      </c>
      <c r="D223" s="240"/>
      <c r="E223" s="241">
        <f>1-F223</f>
        <v>0.17000000000000004</v>
      </c>
      <c r="F223" s="242">
        <v>0.83</v>
      </c>
      <c r="G223" s="54"/>
      <c r="H223" s="241">
        <f>1-I223</f>
        <v>0.17000000000000004</v>
      </c>
      <c r="I223" s="242">
        <v>0.83</v>
      </c>
      <c r="J223" s="54"/>
      <c r="K223" s="241">
        <f>1-L223</f>
        <v>0.17000000000000004</v>
      </c>
      <c r="L223" s="242">
        <v>0.83</v>
      </c>
      <c r="M223" s="54"/>
      <c r="N223" s="241">
        <f>1-O223</f>
        <v>0.17000000000000004</v>
      </c>
      <c r="O223" s="242">
        <v>0.83</v>
      </c>
      <c r="P223" s="54"/>
      <c r="Q223" s="241">
        <f>1-R223</f>
        <v>0.17000000000000004</v>
      </c>
      <c r="R223" s="242">
        <v>0.83</v>
      </c>
      <c r="S223" s="54"/>
      <c r="T223" s="241">
        <f>1-U223</f>
        <v>0.17000000000000004</v>
      </c>
      <c r="U223" s="242">
        <v>0.83</v>
      </c>
      <c r="V223" s="54"/>
      <c r="W223" s="241">
        <f>1-X223</f>
        <v>0.17000000000000004</v>
      </c>
      <c r="X223" s="242">
        <v>0.83</v>
      </c>
      <c r="Y223" s="54"/>
      <c r="Z223" s="241">
        <f>1-AA223</f>
        <v>0.17000000000000004</v>
      </c>
      <c r="AA223" s="242">
        <v>0.83</v>
      </c>
      <c r="AB223" s="54"/>
      <c r="AC223" s="241">
        <f>1-AD223</f>
        <v>0.17000000000000004</v>
      </c>
      <c r="AD223" s="242">
        <v>0.83</v>
      </c>
      <c r="AE223" s="54"/>
      <c r="AF223" s="241">
        <f>1-AG223</f>
        <v>0.17000000000000004</v>
      </c>
      <c r="AG223" s="242">
        <v>0.83</v>
      </c>
      <c r="AH223" s="178"/>
      <c r="AI223" s="243">
        <f t="shared" ref="AI223:AJ225" si="274">AC223-AU223</f>
        <v>0</v>
      </c>
      <c r="AJ223" s="242">
        <f t="shared" si="274"/>
        <v>0</v>
      </c>
      <c r="AK223" s="54"/>
      <c r="AL223" s="241">
        <f t="shared" ref="AL223:AM225" si="275">AF223-AX223</f>
        <v>0</v>
      </c>
      <c r="AM223" s="242">
        <f t="shared" si="275"/>
        <v>0</v>
      </c>
      <c r="AN223" s="54"/>
      <c r="AO223" s="243">
        <f t="shared" ref="AO223:AP225" si="276">AC223-BA223</f>
        <v>0</v>
      </c>
      <c r="AP223" s="242">
        <f t="shared" si="276"/>
        <v>0</v>
      </c>
      <c r="AQ223" s="54"/>
      <c r="AR223" s="241">
        <f t="shared" ref="AR223:AS225" si="277">AF223-BD223</f>
        <v>0</v>
      </c>
      <c r="AS223" s="242">
        <f t="shared" si="277"/>
        <v>0</v>
      </c>
      <c r="AT223" s="178"/>
      <c r="AU223" s="243">
        <v>0.17000000000000004</v>
      </c>
      <c r="AV223" s="242">
        <v>0.83</v>
      </c>
      <c r="AW223" s="54"/>
      <c r="AX223" s="241">
        <v>0.17000000000000004</v>
      </c>
      <c r="AY223" s="242">
        <v>0.83</v>
      </c>
      <c r="AZ223" s="178"/>
      <c r="BA223" s="243">
        <v>0.17000000000000004</v>
      </c>
      <c r="BB223" s="242">
        <v>0.83</v>
      </c>
      <c r="BC223" s="54"/>
      <c r="BD223" s="241">
        <v>0.17000000000000004</v>
      </c>
      <c r="BE223" s="242">
        <v>0.83</v>
      </c>
      <c r="BF223" s="178"/>
      <c r="BG223" s="178"/>
      <c r="BH223" s="178"/>
      <c r="BI223" s="178"/>
      <c r="BJ223" s="178"/>
    </row>
    <row r="224" spans="2:62" x14ac:dyDescent="0.4">
      <c r="C224" s="56" t="s">
        <v>18</v>
      </c>
      <c r="D224" s="240"/>
      <c r="E224" s="241">
        <f>1-F224</f>
        <v>0.18300000000000005</v>
      </c>
      <c r="F224" s="242">
        <v>0.81699999999999995</v>
      </c>
      <c r="G224" s="54"/>
      <c r="H224" s="241">
        <f>1-I224</f>
        <v>0.18300000000000005</v>
      </c>
      <c r="I224" s="242">
        <v>0.81699999999999995</v>
      </c>
      <c r="J224" s="54"/>
      <c r="K224" s="241">
        <f>1-L224</f>
        <v>0.18300000000000005</v>
      </c>
      <c r="L224" s="242">
        <v>0.81699999999999995</v>
      </c>
      <c r="M224" s="54"/>
      <c r="N224" s="241">
        <f>1-O224</f>
        <v>0.18300000000000005</v>
      </c>
      <c r="O224" s="242">
        <v>0.81699999999999995</v>
      </c>
      <c r="P224" s="54"/>
      <c r="Q224" s="241">
        <f>1-R224</f>
        <v>0.18300000000000005</v>
      </c>
      <c r="R224" s="242">
        <v>0.81699999999999995</v>
      </c>
      <c r="S224" s="54"/>
      <c r="T224" s="241">
        <f>1-U224</f>
        <v>0.18300000000000005</v>
      </c>
      <c r="U224" s="242">
        <v>0.81699999999999995</v>
      </c>
      <c r="V224" s="54"/>
      <c r="W224" s="241">
        <f>1-X224</f>
        <v>0.18300000000000005</v>
      </c>
      <c r="X224" s="242">
        <v>0.81699999999999995</v>
      </c>
      <c r="Y224" s="54"/>
      <c r="Z224" s="241">
        <f>1-AA224</f>
        <v>0.18300000000000005</v>
      </c>
      <c r="AA224" s="242">
        <v>0.81699999999999995</v>
      </c>
      <c r="AB224" s="54"/>
      <c r="AC224" s="241">
        <f>1-AD224</f>
        <v>0.18300000000000005</v>
      </c>
      <c r="AD224" s="242">
        <v>0.81699999999999995</v>
      </c>
      <c r="AE224" s="54"/>
      <c r="AF224" s="241">
        <f>1-AG224</f>
        <v>0.18300000000000005</v>
      </c>
      <c r="AG224" s="242">
        <v>0.81699999999999995</v>
      </c>
      <c r="AH224" s="178"/>
      <c r="AI224" s="243">
        <f t="shared" si="274"/>
        <v>0</v>
      </c>
      <c r="AJ224" s="242">
        <f t="shared" si="274"/>
        <v>0</v>
      </c>
      <c r="AK224" s="54"/>
      <c r="AL224" s="241">
        <f t="shared" si="275"/>
        <v>0</v>
      </c>
      <c r="AM224" s="242">
        <f t="shared" si="275"/>
        <v>0</v>
      </c>
      <c r="AN224" s="54"/>
      <c r="AO224" s="243">
        <f t="shared" si="276"/>
        <v>0</v>
      </c>
      <c r="AP224" s="242">
        <f t="shared" si="276"/>
        <v>0</v>
      </c>
      <c r="AQ224" s="54"/>
      <c r="AR224" s="241">
        <f t="shared" si="277"/>
        <v>0</v>
      </c>
      <c r="AS224" s="242">
        <f t="shared" si="277"/>
        <v>0</v>
      </c>
      <c r="AT224" s="178"/>
      <c r="AU224" s="243">
        <v>0.18300000000000005</v>
      </c>
      <c r="AV224" s="242">
        <v>0.81699999999999995</v>
      </c>
      <c r="AW224" s="54"/>
      <c r="AX224" s="241">
        <v>0.18300000000000005</v>
      </c>
      <c r="AY224" s="242">
        <v>0.81699999999999995</v>
      </c>
      <c r="AZ224" s="178"/>
      <c r="BA224" s="243">
        <v>0.18300000000000005</v>
      </c>
      <c r="BB224" s="242">
        <v>0.81699999999999995</v>
      </c>
      <c r="BC224" s="54"/>
      <c r="BD224" s="241">
        <v>0.18300000000000005</v>
      </c>
      <c r="BE224" s="242">
        <v>0.81699999999999995</v>
      </c>
      <c r="BF224" s="178"/>
      <c r="BG224" s="178"/>
      <c r="BH224" s="178"/>
      <c r="BI224" s="178"/>
      <c r="BJ224" s="178"/>
    </row>
    <row r="225" spans="2:62" x14ac:dyDescent="0.4">
      <c r="C225" s="56" t="s">
        <v>91</v>
      </c>
      <c r="D225" s="240"/>
      <c r="E225" s="241">
        <f>1-F225</f>
        <v>1</v>
      </c>
      <c r="F225" s="242">
        <v>0</v>
      </c>
      <c r="G225" s="54"/>
      <c r="H225" s="241">
        <f>1-I225</f>
        <v>1</v>
      </c>
      <c r="I225" s="242">
        <v>0</v>
      </c>
      <c r="J225" s="54"/>
      <c r="K225" s="241">
        <f>1-L225</f>
        <v>1</v>
      </c>
      <c r="L225" s="242">
        <v>0</v>
      </c>
      <c r="M225" s="54"/>
      <c r="N225" s="241">
        <f>1-O225</f>
        <v>1</v>
      </c>
      <c r="O225" s="242">
        <v>0</v>
      </c>
      <c r="P225" s="54"/>
      <c r="Q225" s="241">
        <f>1-R225</f>
        <v>1</v>
      </c>
      <c r="R225" s="242">
        <v>0</v>
      </c>
      <c r="S225" s="54"/>
      <c r="T225" s="241">
        <f>1-U225</f>
        <v>1</v>
      </c>
      <c r="U225" s="242">
        <v>0</v>
      </c>
      <c r="V225" s="54"/>
      <c r="W225" s="241">
        <f>1-X225</f>
        <v>1</v>
      </c>
      <c r="X225" s="242">
        <v>0</v>
      </c>
      <c r="Y225" s="54"/>
      <c r="Z225" s="241">
        <f>1-AA225</f>
        <v>1</v>
      </c>
      <c r="AA225" s="242">
        <v>0</v>
      </c>
      <c r="AB225" s="54"/>
      <c r="AC225" s="241">
        <f>1-AD225</f>
        <v>1</v>
      </c>
      <c r="AD225" s="242">
        <v>0</v>
      </c>
      <c r="AE225" s="54"/>
      <c r="AF225" s="241">
        <f>1-AG225</f>
        <v>1</v>
      </c>
      <c r="AG225" s="242">
        <v>0</v>
      </c>
      <c r="AH225" s="178"/>
      <c r="AI225" s="243">
        <f t="shared" si="274"/>
        <v>0</v>
      </c>
      <c r="AJ225" s="242">
        <f t="shared" si="274"/>
        <v>0</v>
      </c>
      <c r="AK225" s="54"/>
      <c r="AL225" s="241">
        <f t="shared" si="275"/>
        <v>0</v>
      </c>
      <c r="AM225" s="242">
        <f t="shared" si="275"/>
        <v>0</v>
      </c>
      <c r="AN225" s="54"/>
      <c r="AO225" s="243">
        <f t="shared" si="276"/>
        <v>0</v>
      </c>
      <c r="AP225" s="242">
        <f t="shared" si="276"/>
        <v>0</v>
      </c>
      <c r="AQ225" s="54"/>
      <c r="AR225" s="241">
        <f t="shared" si="277"/>
        <v>0</v>
      </c>
      <c r="AS225" s="242">
        <f t="shared" si="277"/>
        <v>0</v>
      </c>
      <c r="AT225" s="178"/>
      <c r="AU225" s="243">
        <v>1</v>
      </c>
      <c r="AV225" s="242">
        <v>0</v>
      </c>
      <c r="AW225" s="54"/>
      <c r="AX225" s="241">
        <v>1</v>
      </c>
      <c r="AY225" s="242">
        <v>0</v>
      </c>
      <c r="AZ225" s="178"/>
      <c r="BA225" s="243">
        <v>1</v>
      </c>
      <c r="BB225" s="242">
        <v>0</v>
      </c>
      <c r="BC225" s="54"/>
      <c r="BD225" s="241">
        <v>1</v>
      </c>
      <c r="BE225" s="242">
        <v>0</v>
      </c>
      <c r="BF225" s="178"/>
      <c r="BG225" s="178"/>
      <c r="BH225" s="178"/>
      <c r="BI225" s="178"/>
      <c r="BJ225" s="178"/>
    </row>
    <row r="226" spans="2:62" x14ac:dyDescent="0.4">
      <c r="C226" s="56"/>
      <c r="D226" s="240"/>
      <c r="E226" s="244"/>
      <c r="F226" s="53"/>
      <c r="G226" s="54"/>
      <c r="H226" s="244"/>
      <c r="I226" s="53"/>
      <c r="J226" s="54"/>
      <c r="K226" s="244"/>
      <c r="L226" s="53"/>
      <c r="M226" s="54"/>
      <c r="N226" s="244"/>
      <c r="O226" s="53"/>
      <c r="P226" s="54"/>
      <c r="Q226" s="244"/>
      <c r="R226" s="53"/>
      <c r="S226" s="54"/>
      <c r="T226" s="244"/>
      <c r="U226" s="53"/>
      <c r="V226" s="54"/>
      <c r="W226" s="244"/>
      <c r="X226" s="53"/>
      <c r="Y226" s="54"/>
      <c r="Z226" s="244"/>
      <c r="AA226" s="53"/>
      <c r="AB226" s="54"/>
      <c r="AC226" s="244"/>
      <c r="AD226" s="53"/>
      <c r="AE226" s="54"/>
      <c r="AF226" s="244"/>
      <c r="AG226" s="53"/>
      <c r="AH226" s="178"/>
      <c r="AI226" s="245"/>
      <c r="AJ226" s="53"/>
      <c r="AK226" s="54"/>
      <c r="AL226" s="244"/>
      <c r="AM226" s="53"/>
      <c r="AN226" s="54"/>
      <c r="AO226" s="245"/>
      <c r="AP226" s="53"/>
      <c r="AQ226" s="54"/>
      <c r="AR226" s="244"/>
      <c r="AS226" s="53"/>
      <c r="AT226" s="178"/>
      <c r="AU226" s="245"/>
      <c r="AV226" s="53"/>
      <c r="AW226" s="54"/>
      <c r="AX226" s="244"/>
      <c r="AY226" s="53"/>
      <c r="AZ226" s="178"/>
      <c r="BA226" s="245"/>
      <c r="BB226" s="53"/>
      <c r="BC226" s="54"/>
      <c r="BD226" s="244"/>
      <c r="BE226" s="53"/>
      <c r="BF226" s="178"/>
      <c r="BG226" s="178"/>
      <c r="BH226" s="178"/>
      <c r="BI226" s="178"/>
      <c r="BJ226" s="178"/>
    </row>
    <row r="227" spans="2:62" x14ac:dyDescent="0.4">
      <c r="B227" s="2" t="s">
        <v>92</v>
      </c>
      <c r="C227" s="226"/>
      <c r="D227" s="227"/>
      <c r="E227" s="52"/>
      <c r="F227" s="53"/>
      <c r="G227" s="54"/>
      <c r="H227" s="20"/>
      <c r="I227" s="53"/>
      <c r="J227" s="54"/>
      <c r="K227" s="20"/>
      <c r="L227" s="53"/>
      <c r="M227" s="54"/>
      <c r="N227" s="20"/>
      <c r="O227" s="53"/>
      <c r="P227" s="54"/>
      <c r="Q227" s="20"/>
      <c r="R227" s="53"/>
      <c r="S227" s="54"/>
      <c r="T227" s="20"/>
      <c r="U227" s="53"/>
      <c r="V227" s="54"/>
      <c r="W227" s="20"/>
      <c r="X227" s="53"/>
      <c r="Y227" s="54"/>
      <c r="Z227" s="20"/>
      <c r="AA227" s="53"/>
      <c r="AB227" s="54"/>
      <c r="AC227" s="20"/>
      <c r="AD227" s="53"/>
      <c r="AE227" s="54"/>
      <c r="AF227" s="20"/>
      <c r="AG227" s="53"/>
      <c r="AH227" s="178"/>
      <c r="AI227" s="69"/>
      <c r="AJ227" s="53"/>
      <c r="AK227" s="54"/>
      <c r="AL227" s="20"/>
      <c r="AM227" s="53"/>
      <c r="AN227" s="54"/>
      <c r="AO227" s="69"/>
      <c r="AP227" s="53"/>
      <c r="AQ227" s="54"/>
      <c r="AR227" s="20"/>
      <c r="AS227" s="53"/>
      <c r="AT227" s="178"/>
      <c r="AU227" s="69"/>
      <c r="AV227" s="53"/>
      <c r="AW227" s="54"/>
      <c r="AX227" s="20"/>
      <c r="AY227" s="53"/>
      <c r="AZ227" s="178"/>
      <c r="BA227" s="69"/>
      <c r="BB227" s="53"/>
      <c r="BC227" s="54"/>
      <c r="BD227" s="20"/>
      <c r="BE227" s="53"/>
      <c r="BF227" s="178"/>
      <c r="BG227" s="178"/>
      <c r="BH227" s="178"/>
      <c r="BI227" s="178"/>
      <c r="BJ227" s="178"/>
    </row>
    <row r="228" spans="2:62" x14ac:dyDescent="0.4">
      <c r="C228" s="56" t="s">
        <v>17</v>
      </c>
      <c r="D228" s="246" t="s">
        <v>8</v>
      </c>
      <c r="E228" s="247">
        <v>6.7360000000000003E-2</v>
      </c>
      <c r="F228" s="70">
        <f>F30*F223*F213*E228</f>
        <v>28950137.760971062</v>
      </c>
      <c r="G228" s="54"/>
      <c r="H228" s="247">
        <v>7.729724835580512E-2</v>
      </c>
      <c r="I228" s="53"/>
      <c r="J228" s="54"/>
      <c r="K228" s="247">
        <v>8.1149165104038593E-2</v>
      </c>
      <c r="L228" s="53"/>
      <c r="M228" s="54"/>
      <c r="N228" s="247">
        <v>8.8999999999999996E-2</v>
      </c>
      <c r="O228" s="70">
        <f>O30*O223*O213*N228</f>
        <v>37262550.871338412</v>
      </c>
      <c r="P228" s="54"/>
      <c r="Q228" s="247">
        <v>8.8999999999999996E-2</v>
      </c>
      <c r="R228" s="70">
        <f>R30*R223*R213*Q228</f>
        <v>37269661.551112205</v>
      </c>
      <c r="S228" s="54"/>
      <c r="T228" s="247">
        <v>9.5159999999999995E-2</v>
      </c>
      <c r="U228" s="70">
        <f>U30*U223*U213*T228</f>
        <v>40442536.888076104</v>
      </c>
      <c r="V228" s="54"/>
      <c r="W228" s="247">
        <f>T228*(1+W236)</f>
        <v>9.5159999999999995E-2</v>
      </c>
      <c r="X228" s="70">
        <f>X30*X223*X213*W228</f>
        <v>40696775.207603119</v>
      </c>
      <c r="Y228" s="54"/>
      <c r="Z228" s="247">
        <f>W228*(1+Z236)</f>
        <v>9.5159999999999995E-2</v>
      </c>
      <c r="AA228" s="70">
        <f>AA30*AA223*AA213*Z228</f>
        <v>40772709.116520226</v>
      </c>
      <c r="AB228" s="54"/>
      <c r="AC228" s="248">
        <v>8.2000000000000003E-2</v>
      </c>
      <c r="AD228" s="70">
        <f>AD30*AD223*AD213*AC228</f>
        <v>35236394.640083894</v>
      </c>
      <c r="AE228" s="54"/>
      <c r="AF228" s="248">
        <f>AC228*(1+AF236)</f>
        <v>8.2000000000000003E-2</v>
      </c>
      <c r="AG228" s="70">
        <f>AG30*AG223*AG213*AF228</f>
        <v>35366234.234175928</v>
      </c>
      <c r="AH228" s="178"/>
      <c r="AI228" s="249">
        <f t="shared" ref="AI228:AJ236" si="278">AC228-AU228</f>
        <v>-3.3974000000000004E-2</v>
      </c>
      <c r="AJ228" s="70">
        <f t="shared" si="278"/>
        <v>-12627562.578326739</v>
      </c>
      <c r="AK228" s="54"/>
      <c r="AL228" s="247">
        <f t="shared" ref="AL228:AM236" si="279">AF228-AX228</f>
        <v>-3.6293480000000003E-2</v>
      </c>
      <c r="AM228" s="70">
        <f t="shared" si="279"/>
        <v>-13306141.755956464</v>
      </c>
      <c r="AN228" s="54"/>
      <c r="AO228" s="249">
        <f t="shared" ref="AO228:AP236" si="280">AC228-BA228</f>
        <v>-1.3159999999999991E-2</v>
      </c>
      <c r="AP228" s="70">
        <f t="shared" si="280"/>
        <v>-6111759.1541630477</v>
      </c>
      <c r="AQ228" s="54"/>
      <c r="AR228" s="247">
        <f t="shared" ref="AR228:AS236" si="281">AF228-BD228</f>
        <v>-1.3159999999999991E-2</v>
      </c>
      <c r="AS228" s="70">
        <f t="shared" si="281"/>
        <v>-6609134.6397218034</v>
      </c>
      <c r="AT228" s="178"/>
      <c r="AU228" s="250">
        <v>0.11597400000000001</v>
      </c>
      <c r="AV228" s="70">
        <v>47863957.218410634</v>
      </c>
      <c r="AW228" s="54"/>
      <c r="AX228" s="248">
        <v>0.11829348000000001</v>
      </c>
      <c r="AY228" s="70">
        <v>48672375.990132391</v>
      </c>
      <c r="AZ228" s="178"/>
      <c r="BA228" s="249">
        <v>9.5159999999999995E-2</v>
      </c>
      <c r="BB228" s="70">
        <v>41348153.794246942</v>
      </c>
      <c r="BC228" s="54"/>
      <c r="BD228" s="247">
        <v>9.5159999999999995E-2</v>
      </c>
      <c r="BE228" s="70">
        <v>41975368.873897731</v>
      </c>
      <c r="BF228" s="178"/>
      <c r="BG228" s="178"/>
      <c r="BH228" s="178"/>
      <c r="BI228" s="178"/>
      <c r="BJ228" s="178"/>
    </row>
    <row r="229" spans="2:62" x14ac:dyDescent="0.4">
      <c r="C229" s="56" t="s">
        <v>18</v>
      </c>
      <c r="D229" s="246" t="s">
        <v>8</v>
      </c>
      <c r="E229" s="247">
        <f>E228</f>
        <v>6.7360000000000003E-2</v>
      </c>
      <c r="F229" s="70">
        <f>F31*F224*F214*E229</f>
        <v>7595311.6333975056</v>
      </c>
      <c r="G229" s="54"/>
      <c r="H229" s="247">
        <f>H228</f>
        <v>7.729724835580512E-2</v>
      </c>
      <c r="I229" s="53"/>
      <c r="J229" s="54"/>
      <c r="K229" s="247">
        <f>K228</f>
        <v>8.1149165104038593E-2</v>
      </c>
      <c r="L229" s="53"/>
      <c r="M229" s="54"/>
      <c r="N229" s="247">
        <v>8.8999999999999996E-2</v>
      </c>
      <c r="O229" s="70">
        <f>O31*O224*O214*N229</f>
        <v>10267695.85814492</v>
      </c>
      <c r="P229" s="54"/>
      <c r="Q229" s="247">
        <f>Q228</f>
        <v>8.8999999999999996E-2</v>
      </c>
      <c r="R229" s="70">
        <f>R31*R224*R214*Q229</f>
        <v>10123489.339816291</v>
      </c>
      <c r="S229" s="54"/>
      <c r="T229" s="247">
        <f>T$228</f>
        <v>9.5159999999999995E-2</v>
      </c>
      <c r="U229" s="70">
        <f>U31*U224*U214*T229</f>
        <v>10929476.948435685</v>
      </c>
      <c r="V229" s="54"/>
      <c r="W229" s="247">
        <f>T229*(1+W236)</f>
        <v>9.5159999999999995E-2</v>
      </c>
      <c r="X229" s="70">
        <f>X31*X224*X214*W229</f>
        <v>10993899.422439573</v>
      </c>
      <c r="Y229" s="54"/>
      <c r="Z229" s="247">
        <f>W229*(1+Z236)</f>
        <v>9.5159999999999995E-2</v>
      </c>
      <c r="AA229" s="70">
        <f>AA31*AA224*AA214*Z229</f>
        <v>11010958.385852292</v>
      </c>
      <c r="AB229" s="54"/>
      <c r="AC229" s="244">
        <f>AC$228</f>
        <v>8.2000000000000003E-2</v>
      </c>
      <c r="AD229" s="70">
        <f>AD31*AD224*AD214*AC229</f>
        <v>9515259.116730541</v>
      </c>
      <c r="AE229" s="54"/>
      <c r="AF229" s="244">
        <f>AF$228</f>
        <v>8.2000000000000003E-2</v>
      </c>
      <c r="AG229" s="70">
        <f>AG31*AG224*AG214*AF229</f>
        <v>9551710.3470788561</v>
      </c>
      <c r="AH229" s="178"/>
      <c r="AI229" s="249">
        <f t="shared" si="278"/>
        <v>-3.3974000000000004E-2</v>
      </c>
      <c r="AJ229" s="70">
        <f t="shared" si="278"/>
        <v>-3203825.4940864947</v>
      </c>
      <c r="AK229" s="54"/>
      <c r="AL229" s="247">
        <f t="shared" si="279"/>
        <v>-3.6293480000000003E-2</v>
      </c>
      <c r="AM229" s="70">
        <f t="shared" si="279"/>
        <v>-3364694.9658321235</v>
      </c>
      <c r="AN229" s="54"/>
      <c r="AO229" s="249">
        <f t="shared" si="280"/>
        <v>-1.3159999999999991E-2</v>
      </c>
      <c r="AP229" s="70">
        <f t="shared" si="280"/>
        <v>-1649606.9338744264</v>
      </c>
      <c r="AQ229" s="54"/>
      <c r="AR229" s="247">
        <f t="shared" si="281"/>
        <v>-1.3159999999999991E-2</v>
      </c>
      <c r="AS229" s="70">
        <f t="shared" si="281"/>
        <v>-1783439.0432628226</v>
      </c>
      <c r="AT229" s="178"/>
      <c r="AU229" s="245">
        <v>0.11597400000000001</v>
      </c>
      <c r="AV229" s="70">
        <v>12719084.610817036</v>
      </c>
      <c r="AW229" s="54"/>
      <c r="AX229" s="244">
        <v>0.11829348000000001</v>
      </c>
      <c r="AY229" s="70">
        <v>12916405.31291098</v>
      </c>
      <c r="AZ229" s="178"/>
      <c r="BA229" s="249">
        <v>9.5159999999999995E-2</v>
      </c>
      <c r="BB229" s="70">
        <v>11164866.050604967</v>
      </c>
      <c r="BC229" s="54"/>
      <c r="BD229" s="247">
        <v>9.5159999999999995E-2</v>
      </c>
      <c r="BE229" s="70">
        <v>11335149.390341679</v>
      </c>
      <c r="BF229" s="178"/>
      <c r="BG229" s="178"/>
      <c r="BH229" s="178"/>
      <c r="BI229" s="178"/>
      <c r="BJ229" s="178"/>
    </row>
    <row r="230" spans="2:62" x14ac:dyDescent="0.4">
      <c r="C230" s="56" t="s">
        <v>19</v>
      </c>
      <c r="D230" s="246" t="s">
        <v>8</v>
      </c>
      <c r="E230" s="247">
        <f t="shared" ref="E230:E235" si="282">E229</f>
        <v>6.7360000000000003E-2</v>
      </c>
      <c r="F230" s="70">
        <f t="shared" ref="F230:F235" si="283">F32*F$225*F215*E230</f>
        <v>0</v>
      </c>
      <c r="G230" s="54"/>
      <c r="H230" s="247">
        <f t="shared" ref="H230:H235" si="284">H229</f>
        <v>7.729724835580512E-2</v>
      </c>
      <c r="I230" s="53"/>
      <c r="J230" s="54"/>
      <c r="K230" s="247">
        <f t="shared" ref="K230:K235" si="285">K229</f>
        <v>8.1149165104038593E-2</v>
      </c>
      <c r="L230" s="53"/>
      <c r="M230" s="54"/>
      <c r="N230" s="247">
        <v>8.8999999999999996E-2</v>
      </c>
      <c r="O230" s="70">
        <f t="shared" ref="O230:O235" si="286">O32*O$225*O215*N230</f>
        <v>0</v>
      </c>
      <c r="P230" s="54"/>
      <c r="Q230" s="247">
        <f t="shared" ref="Q230:Q235" si="287">Q229</f>
        <v>8.8999999999999996E-2</v>
      </c>
      <c r="R230" s="70">
        <f t="shared" ref="R230:R235" si="288">R32*R$225*R215*Q230</f>
        <v>0</v>
      </c>
      <c r="S230" s="54"/>
      <c r="T230" s="247">
        <f t="shared" ref="T230:T235" si="289">T$228</f>
        <v>9.5159999999999995E-2</v>
      </c>
      <c r="U230" s="70">
        <f t="shared" ref="U230:U235" si="290">U32*U$225*U215*T230</f>
        <v>0</v>
      </c>
      <c r="V230" s="54"/>
      <c r="W230" s="247">
        <f>T230*(1+W236)</f>
        <v>9.5159999999999995E-2</v>
      </c>
      <c r="X230" s="70">
        <f t="shared" ref="X230:X235" si="291">X32*X$225*X215*W230</f>
        <v>0</v>
      </c>
      <c r="Y230" s="54"/>
      <c r="Z230" s="247">
        <f>W230*(1+Z236)</f>
        <v>9.5159999999999995E-2</v>
      </c>
      <c r="AA230" s="70">
        <f t="shared" ref="AA230:AA235" si="292">AA32*AA$225*AA215*Z230</f>
        <v>0</v>
      </c>
      <c r="AB230" s="54"/>
      <c r="AC230" s="244">
        <f t="shared" ref="AC230:AC234" si="293">AC$228</f>
        <v>8.2000000000000003E-2</v>
      </c>
      <c r="AD230" s="70">
        <f t="shared" ref="AD230:AD235" si="294">AD32*AD$225*AD215*AC230</f>
        <v>0</v>
      </c>
      <c r="AE230" s="54"/>
      <c r="AF230" s="244">
        <f t="shared" ref="AF230:AF235" si="295">AF$228</f>
        <v>8.2000000000000003E-2</v>
      </c>
      <c r="AG230" s="70">
        <f t="shared" ref="AG230:AG235" si="296">AG32*AG$225*AG215*AF230</f>
        <v>0</v>
      </c>
      <c r="AH230" s="178"/>
      <c r="AI230" s="249">
        <f t="shared" si="278"/>
        <v>-3.3974000000000004E-2</v>
      </c>
      <c r="AJ230" s="70">
        <f t="shared" si="278"/>
        <v>0</v>
      </c>
      <c r="AK230" s="54"/>
      <c r="AL230" s="247">
        <f t="shared" si="279"/>
        <v>-3.6293480000000003E-2</v>
      </c>
      <c r="AM230" s="70">
        <f t="shared" si="279"/>
        <v>0</v>
      </c>
      <c r="AN230" s="54"/>
      <c r="AO230" s="249">
        <f t="shared" si="280"/>
        <v>-1.3159999999999991E-2</v>
      </c>
      <c r="AP230" s="70">
        <f t="shared" si="280"/>
        <v>0</v>
      </c>
      <c r="AQ230" s="54"/>
      <c r="AR230" s="247">
        <f t="shared" si="281"/>
        <v>-1.3159999999999991E-2</v>
      </c>
      <c r="AS230" s="70">
        <f t="shared" si="281"/>
        <v>0</v>
      </c>
      <c r="AT230" s="178"/>
      <c r="AU230" s="245">
        <v>0.11597400000000001</v>
      </c>
      <c r="AV230" s="70">
        <v>0</v>
      </c>
      <c r="AW230" s="54"/>
      <c r="AX230" s="244">
        <v>0.11829348000000001</v>
      </c>
      <c r="AY230" s="70">
        <v>0</v>
      </c>
      <c r="AZ230" s="178"/>
      <c r="BA230" s="249">
        <v>9.5159999999999995E-2</v>
      </c>
      <c r="BB230" s="70">
        <v>0</v>
      </c>
      <c r="BC230" s="54"/>
      <c r="BD230" s="247">
        <v>9.5159999999999995E-2</v>
      </c>
      <c r="BE230" s="70">
        <v>0</v>
      </c>
      <c r="BF230" s="178"/>
      <c r="BG230" s="178"/>
      <c r="BH230" s="178"/>
      <c r="BI230" s="178"/>
      <c r="BJ230" s="178"/>
    </row>
    <row r="231" spans="2:62" x14ac:dyDescent="0.4">
      <c r="C231" s="56" t="s">
        <v>20</v>
      </c>
      <c r="D231" s="246" t="s">
        <v>8</v>
      </c>
      <c r="E231" s="247">
        <f t="shared" si="282"/>
        <v>6.7360000000000003E-2</v>
      </c>
      <c r="F231" s="70">
        <f t="shared" si="283"/>
        <v>0</v>
      </c>
      <c r="G231" s="54"/>
      <c r="H231" s="247">
        <f t="shared" si="284"/>
        <v>7.729724835580512E-2</v>
      </c>
      <c r="I231" s="53"/>
      <c r="J231" s="54"/>
      <c r="K231" s="247">
        <f t="shared" si="285"/>
        <v>8.1149165104038593E-2</v>
      </c>
      <c r="L231" s="53"/>
      <c r="M231" s="54"/>
      <c r="N231" s="247">
        <v>8.8999999999999996E-2</v>
      </c>
      <c r="O231" s="70">
        <f t="shared" si="286"/>
        <v>0</v>
      </c>
      <c r="P231" s="54"/>
      <c r="Q231" s="247">
        <f t="shared" si="287"/>
        <v>8.8999999999999996E-2</v>
      </c>
      <c r="R231" s="70">
        <f t="shared" si="288"/>
        <v>0</v>
      </c>
      <c r="S231" s="54"/>
      <c r="T231" s="247">
        <f t="shared" si="289"/>
        <v>9.5159999999999995E-2</v>
      </c>
      <c r="U231" s="70">
        <f t="shared" si="290"/>
        <v>0</v>
      </c>
      <c r="V231" s="54"/>
      <c r="W231" s="247">
        <f>T231*(1+W236)</f>
        <v>9.5159999999999995E-2</v>
      </c>
      <c r="X231" s="70">
        <f t="shared" si="291"/>
        <v>0</v>
      </c>
      <c r="Y231" s="54"/>
      <c r="Z231" s="247">
        <f>W231*(1+Z236)</f>
        <v>9.5159999999999995E-2</v>
      </c>
      <c r="AA231" s="70">
        <f t="shared" si="292"/>
        <v>0</v>
      </c>
      <c r="AB231" s="54"/>
      <c r="AC231" s="244">
        <f t="shared" si="293"/>
        <v>8.2000000000000003E-2</v>
      </c>
      <c r="AD231" s="70">
        <f t="shared" si="294"/>
        <v>0</v>
      </c>
      <c r="AE231" s="54"/>
      <c r="AF231" s="244">
        <f>AF$228</f>
        <v>8.2000000000000003E-2</v>
      </c>
      <c r="AG231" s="70">
        <f t="shared" si="296"/>
        <v>0</v>
      </c>
      <c r="AH231" s="178"/>
      <c r="AI231" s="249">
        <f t="shared" si="278"/>
        <v>-3.3974000000000004E-2</v>
      </c>
      <c r="AJ231" s="70">
        <f t="shared" si="278"/>
        <v>0</v>
      </c>
      <c r="AK231" s="54"/>
      <c r="AL231" s="247">
        <f t="shared" si="279"/>
        <v>-3.6293480000000003E-2</v>
      </c>
      <c r="AM231" s="70">
        <f t="shared" si="279"/>
        <v>0</v>
      </c>
      <c r="AN231" s="54"/>
      <c r="AO231" s="249">
        <f t="shared" si="280"/>
        <v>-1.3159999999999991E-2</v>
      </c>
      <c r="AP231" s="70">
        <f t="shared" si="280"/>
        <v>0</v>
      </c>
      <c r="AQ231" s="54"/>
      <c r="AR231" s="247">
        <f t="shared" si="281"/>
        <v>-1.3159999999999991E-2</v>
      </c>
      <c r="AS231" s="70">
        <f t="shared" si="281"/>
        <v>0</v>
      </c>
      <c r="AT231" s="178"/>
      <c r="AU231" s="245">
        <v>0.11597400000000001</v>
      </c>
      <c r="AV231" s="70">
        <v>0</v>
      </c>
      <c r="AW231" s="54"/>
      <c r="AX231" s="244">
        <v>0.11829348000000001</v>
      </c>
      <c r="AY231" s="70">
        <v>0</v>
      </c>
      <c r="AZ231" s="178"/>
      <c r="BA231" s="249">
        <v>9.5159999999999995E-2</v>
      </c>
      <c r="BB231" s="70">
        <v>0</v>
      </c>
      <c r="BC231" s="54"/>
      <c r="BD231" s="247">
        <v>9.5159999999999995E-2</v>
      </c>
      <c r="BE231" s="70">
        <v>0</v>
      </c>
      <c r="BF231" s="178"/>
      <c r="BG231" s="178"/>
      <c r="BH231" s="178"/>
      <c r="BI231" s="178"/>
      <c r="BJ231" s="178"/>
    </row>
    <row r="232" spans="2:62" x14ac:dyDescent="0.4">
      <c r="C232" s="56" t="s">
        <v>21</v>
      </c>
      <c r="D232" s="246" t="s">
        <v>8</v>
      </c>
      <c r="E232" s="247">
        <f t="shared" si="282"/>
        <v>6.7360000000000003E-2</v>
      </c>
      <c r="F232" s="70">
        <f t="shared" si="283"/>
        <v>0</v>
      </c>
      <c r="G232" s="54"/>
      <c r="H232" s="247">
        <f t="shared" si="284"/>
        <v>7.729724835580512E-2</v>
      </c>
      <c r="I232" s="53"/>
      <c r="J232" s="54"/>
      <c r="K232" s="247">
        <f t="shared" si="285"/>
        <v>8.1149165104038593E-2</v>
      </c>
      <c r="L232" s="53"/>
      <c r="M232" s="54"/>
      <c r="N232" s="247">
        <v>8.8999999999999996E-2</v>
      </c>
      <c r="O232" s="70">
        <f t="shared" si="286"/>
        <v>0</v>
      </c>
      <c r="P232" s="54"/>
      <c r="Q232" s="247">
        <f t="shared" si="287"/>
        <v>8.8999999999999996E-2</v>
      </c>
      <c r="R232" s="70">
        <f t="shared" si="288"/>
        <v>0</v>
      </c>
      <c r="S232" s="54"/>
      <c r="T232" s="247">
        <f t="shared" si="289"/>
        <v>9.5159999999999995E-2</v>
      </c>
      <c r="U232" s="70">
        <f t="shared" si="290"/>
        <v>0</v>
      </c>
      <c r="V232" s="54"/>
      <c r="W232" s="247">
        <f>T232*(1+W236)</f>
        <v>9.5159999999999995E-2</v>
      </c>
      <c r="X232" s="70">
        <f t="shared" si="291"/>
        <v>0</v>
      </c>
      <c r="Y232" s="54"/>
      <c r="Z232" s="247">
        <f>W232*(1+Z236)</f>
        <v>9.5159999999999995E-2</v>
      </c>
      <c r="AA232" s="70">
        <f t="shared" si="292"/>
        <v>0</v>
      </c>
      <c r="AB232" s="54"/>
      <c r="AC232" s="244">
        <f>AC$228</f>
        <v>8.2000000000000003E-2</v>
      </c>
      <c r="AD232" s="70">
        <f t="shared" si="294"/>
        <v>0</v>
      </c>
      <c r="AE232" s="54"/>
      <c r="AF232" s="244">
        <f t="shared" si="295"/>
        <v>8.2000000000000003E-2</v>
      </c>
      <c r="AG232" s="70">
        <f t="shared" si="296"/>
        <v>0</v>
      </c>
      <c r="AH232" s="178"/>
      <c r="AI232" s="249">
        <f t="shared" si="278"/>
        <v>-3.3974000000000004E-2</v>
      </c>
      <c r="AJ232" s="70">
        <f t="shared" si="278"/>
        <v>0</v>
      </c>
      <c r="AK232" s="54"/>
      <c r="AL232" s="247">
        <f t="shared" si="279"/>
        <v>-3.6293480000000003E-2</v>
      </c>
      <c r="AM232" s="70">
        <f t="shared" si="279"/>
        <v>0</v>
      </c>
      <c r="AN232" s="54"/>
      <c r="AO232" s="249">
        <f t="shared" si="280"/>
        <v>-1.3159999999999991E-2</v>
      </c>
      <c r="AP232" s="70">
        <f t="shared" si="280"/>
        <v>0</v>
      </c>
      <c r="AQ232" s="54"/>
      <c r="AR232" s="247">
        <f t="shared" si="281"/>
        <v>-1.3159999999999991E-2</v>
      </c>
      <c r="AS232" s="70">
        <f t="shared" si="281"/>
        <v>0</v>
      </c>
      <c r="AT232" s="178"/>
      <c r="AU232" s="245">
        <v>0.11597400000000001</v>
      </c>
      <c r="AV232" s="70">
        <v>0</v>
      </c>
      <c r="AW232" s="54"/>
      <c r="AX232" s="244">
        <v>0.11829348000000001</v>
      </c>
      <c r="AY232" s="70">
        <v>0</v>
      </c>
      <c r="AZ232" s="178"/>
      <c r="BA232" s="249">
        <v>9.5159999999999995E-2</v>
      </c>
      <c r="BB232" s="70">
        <v>0</v>
      </c>
      <c r="BC232" s="54"/>
      <c r="BD232" s="247">
        <v>9.5159999999999995E-2</v>
      </c>
      <c r="BE232" s="70">
        <v>0</v>
      </c>
      <c r="BF232" s="178"/>
      <c r="BG232" s="178"/>
      <c r="BH232" s="178"/>
      <c r="BI232" s="178"/>
      <c r="BJ232" s="178"/>
    </row>
    <row r="233" spans="2:62" x14ac:dyDescent="0.4">
      <c r="C233" s="56" t="s">
        <v>22</v>
      </c>
      <c r="D233" s="246" t="s">
        <v>8</v>
      </c>
      <c r="E233" s="247">
        <f t="shared" si="282"/>
        <v>6.7360000000000003E-2</v>
      </c>
      <c r="F233" s="70">
        <f t="shared" si="283"/>
        <v>0</v>
      </c>
      <c r="G233" s="54"/>
      <c r="H233" s="247">
        <f t="shared" si="284"/>
        <v>7.729724835580512E-2</v>
      </c>
      <c r="I233" s="53"/>
      <c r="J233" s="54"/>
      <c r="K233" s="247">
        <f t="shared" si="285"/>
        <v>8.1149165104038593E-2</v>
      </c>
      <c r="L233" s="53"/>
      <c r="M233" s="54"/>
      <c r="N233" s="247">
        <v>8.8999999999999996E-2</v>
      </c>
      <c r="O233" s="70">
        <f t="shared" si="286"/>
        <v>0</v>
      </c>
      <c r="P233" s="54"/>
      <c r="Q233" s="247">
        <f t="shared" si="287"/>
        <v>8.8999999999999996E-2</v>
      </c>
      <c r="R233" s="70">
        <f t="shared" si="288"/>
        <v>0</v>
      </c>
      <c r="S233" s="54"/>
      <c r="T233" s="247">
        <f t="shared" si="289"/>
        <v>9.5159999999999995E-2</v>
      </c>
      <c r="U233" s="70">
        <f t="shared" si="290"/>
        <v>0</v>
      </c>
      <c r="V233" s="54"/>
      <c r="W233" s="247">
        <f>T233*(1+W236)</f>
        <v>9.5159999999999995E-2</v>
      </c>
      <c r="X233" s="70">
        <f t="shared" si="291"/>
        <v>0</v>
      </c>
      <c r="Y233" s="54"/>
      <c r="Z233" s="247">
        <f>W233*(1+Z236)</f>
        <v>9.5159999999999995E-2</v>
      </c>
      <c r="AA233" s="70">
        <f t="shared" si="292"/>
        <v>0</v>
      </c>
      <c r="AB233" s="54"/>
      <c r="AC233" s="244">
        <f t="shared" si="293"/>
        <v>8.2000000000000003E-2</v>
      </c>
      <c r="AD233" s="70">
        <f t="shared" si="294"/>
        <v>0</v>
      </c>
      <c r="AE233" s="54"/>
      <c r="AF233" s="244">
        <f>AF$228</f>
        <v>8.2000000000000003E-2</v>
      </c>
      <c r="AG233" s="70">
        <f t="shared" si="296"/>
        <v>0</v>
      </c>
      <c r="AH233" s="178"/>
      <c r="AI233" s="249">
        <f t="shared" si="278"/>
        <v>-3.3974000000000004E-2</v>
      </c>
      <c r="AJ233" s="70">
        <f t="shared" si="278"/>
        <v>0</v>
      </c>
      <c r="AK233" s="54"/>
      <c r="AL233" s="247">
        <f t="shared" si="279"/>
        <v>-3.6293480000000003E-2</v>
      </c>
      <c r="AM233" s="70">
        <f t="shared" si="279"/>
        <v>0</v>
      </c>
      <c r="AN233" s="54"/>
      <c r="AO233" s="249">
        <f t="shared" si="280"/>
        <v>-1.3159999999999991E-2</v>
      </c>
      <c r="AP233" s="70">
        <f t="shared" si="280"/>
        <v>0</v>
      </c>
      <c r="AQ233" s="54"/>
      <c r="AR233" s="247">
        <f t="shared" si="281"/>
        <v>-1.3159999999999991E-2</v>
      </c>
      <c r="AS233" s="70">
        <f t="shared" si="281"/>
        <v>0</v>
      </c>
      <c r="AT233" s="178"/>
      <c r="AU233" s="245">
        <v>0.11597400000000001</v>
      </c>
      <c r="AV233" s="70">
        <v>0</v>
      </c>
      <c r="AW233" s="54"/>
      <c r="AX233" s="244">
        <v>0.11829348000000001</v>
      </c>
      <c r="AY233" s="70">
        <v>0</v>
      </c>
      <c r="AZ233" s="178"/>
      <c r="BA233" s="249">
        <v>9.5159999999999995E-2</v>
      </c>
      <c r="BB233" s="70">
        <v>0</v>
      </c>
      <c r="BC233" s="54"/>
      <c r="BD233" s="247">
        <v>9.5159999999999995E-2</v>
      </c>
      <c r="BE233" s="70">
        <v>0</v>
      </c>
      <c r="BF233" s="178"/>
      <c r="BG233" s="178"/>
      <c r="BH233" s="178"/>
      <c r="BI233" s="178"/>
      <c r="BJ233" s="178"/>
    </row>
    <row r="234" spans="2:62" x14ac:dyDescent="0.4">
      <c r="C234" s="56" t="s">
        <v>23</v>
      </c>
      <c r="D234" s="246" t="s">
        <v>8</v>
      </c>
      <c r="E234" s="247">
        <f t="shared" si="282"/>
        <v>6.7360000000000003E-2</v>
      </c>
      <c r="F234" s="70">
        <f t="shared" si="283"/>
        <v>0</v>
      </c>
      <c r="G234" s="54"/>
      <c r="H234" s="247">
        <f t="shared" si="284"/>
        <v>7.729724835580512E-2</v>
      </c>
      <c r="I234" s="53"/>
      <c r="J234" s="54"/>
      <c r="K234" s="247">
        <f t="shared" si="285"/>
        <v>8.1149165104038593E-2</v>
      </c>
      <c r="L234" s="53"/>
      <c r="M234" s="54"/>
      <c r="N234" s="247">
        <v>8.8999999999999996E-2</v>
      </c>
      <c r="O234" s="70">
        <f t="shared" si="286"/>
        <v>0</v>
      </c>
      <c r="P234" s="54"/>
      <c r="Q234" s="247">
        <f t="shared" si="287"/>
        <v>8.8999999999999996E-2</v>
      </c>
      <c r="R234" s="70">
        <f t="shared" si="288"/>
        <v>0</v>
      </c>
      <c r="S234" s="54"/>
      <c r="T234" s="247">
        <f t="shared" si="289"/>
        <v>9.5159999999999995E-2</v>
      </c>
      <c r="U234" s="70">
        <f t="shared" si="290"/>
        <v>0</v>
      </c>
      <c r="V234" s="54"/>
      <c r="W234" s="247">
        <f>T234*(1+W236)</f>
        <v>9.5159999999999995E-2</v>
      </c>
      <c r="X234" s="70">
        <f t="shared" si="291"/>
        <v>0</v>
      </c>
      <c r="Y234" s="54"/>
      <c r="Z234" s="247">
        <f>W234*(1+Z236)</f>
        <v>9.5159999999999995E-2</v>
      </c>
      <c r="AA234" s="70">
        <f t="shared" si="292"/>
        <v>0</v>
      </c>
      <c r="AB234" s="54"/>
      <c r="AC234" s="244">
        <f t="shared" si="293"/>
        <v>8.2000000000000003E-2</v>
      </c>
      <c r="AD234" s="70">
        <f t="shared" si="294"/>
        <v>0</v>
      </c>
      <c r="AE234" s="54"/>
      <c r="AF234" s="244">
        <f t="shared" si="295"/>
        <v>8.2000000000000003E-2</v>
      </c>
      <c r="AG234" s="70">
        <f t="shared" si="296"/>
        <v>0</v>
      </c>
      <c r="AH234" s="178"/>
      <c r="AI234" s="249">
        <f t="shared" si="278"/>
        <v>-3.3974000000000004E-2</v>
      </c>
      <c r="AJ234" s="70">
        <f t="shared" si="278"/>
        <v>0</v>
      </c>
      <c r="AK234" s="54"/>
      <c r="AL234" s="247">
        <f t="shared" si="279"/>
        <v>-3.6293480000000003E-2</v>
      </c>
      <c r="AM234" s="70">
        <f t="shared" si="279"/>
        <v>0</v>
      </c>
      <c r="AN234" s="54"/>
      <c r="AO234" s="249">
        <f t="shared" si="280"/>
        <v>-1.3159999999999991E-2</v>
      </c>
      <c r="AP234" s="70">
        <f t="shared" si="280"/>
        <v>0</v>
      </c>
      <c r="AQ234" s="54"/>
      <c r="AR234" s="247">
        <f t="shared" si="281"/>
        <v>-1.3159999999999991E-2</v>
      </c>
      <c r="AS234" s="70">
        <f t="shared" si="281"/>
        <v>0</v>
      </c>
      <c r="AT234" s="178"/>
      <c r="AU234" s="245">
        <v>0.11597400000000001</v>
      </c>
      <c r="AV234" s="70">
        <v>0</v>
      </c>
      <c r="AW234" s="54"/>
      <c r="AX234" s="244">
        <v>0.11829348000000001</v>
      </c>
      <c r="AY234" s="70">
        <v>0</v>
      </c>
      <c r="AZ234" s="178"/>
      <c r="BA234" s="249">
        <v>9.5159999999999995E-2</v>
      </c>
      <c r="BB234" s="70">
        <v>0</v>
      </c>
      <c r="BC234" s="54"/>
      <c r="BD234" s="247">
        <v>9.5159999999999995E-2</v>
      </c>
      <c r="BE234" s="70">
        <v>0</v>
      </c>
      <c r="BF234" s="178"/>
      <c r="BG234" s="178"/>
      <c r="BH234" s="178"/>
      <c r="BI234" s="178"/>
      <c r="BJ234" s="178"/>
    </row>
    <row r="235" spans="2:62" x14ac:dyDescent="0.4">
      <c r="C235" s="56" t="s">
        <v>24</v>
      </c>
      <c r="D235" s="246" t="s">
        <v>8</v>
      </c>
      <c r="E235" s="247">
        <f t="shared" si="282"/>
        <v>6.7360000000000003E-2</v>
      </c>
      <c r="F235" s="70">
        <f t="shared" si="283"/>
        <v>0</v>
      </c>
      <c r="G235" s="54"/>
      <c r="H235" s="247">
        <f t="shared" si="284"/>
        <v>7.729724835580512E-2</v>
      </c>
      <c r="I235" s="53"/>
      <c r="J235" s="54"/>
      <c r="K235" s="247">
        <f t="shared" si="285"/>
        <v>8.1149165104038593E-2</v>
      </c>
      <c r="L235" s="53"/>
      <c r="M235" s="54"/>
      <c r="N235" s="247">
        <v>8.8999999999999996E-2</v>
      </c>
      <c r="O235" s="70">
        <f t="shared" si="286"/>
        <v>0</v>
      </c>
      <c r="P235" s="54"/>
      <c r="Q235" s="247">
        <f t="shared" si="287"/>
        <v>8.8999999999999996E-2</v>
      </c>
      <c r="R235" s="70">
        <f t="shared" si="288"/>
        <v>0</v>
      </c>
      <c r="S235" s="54"/>
      <c r="T235" s="247">
        <f t="shared" si="289"/>
        <v>9.5159999999999995E-2</v>
      </c>
      <c r="U235" s="70">
        <f t="shared" si="290"/>
        <v>0</v>
      </c>
      <c r="V235" s="54"/>
      <c r="W235" s="247">
        <f>T235*(1+W236)</f>
        <v>9.5159999999999995E-2</v>
      </c>
      <c r="X235" s="70">
        <f t="shared" si="291"/>
        <v>0</v>
      </c>
      <c r="Y235" s="54"/>
      <c r="Z235" s="247">
        <f>W235*(1+Z236)</f>
        <v>9.5159999999999995E-2</v>
      </c>
      <c r="AA235" s="70">
        <f t="shared" si="292"/>
        <v>0</v>
      </c>
      <c r="AB235" s="54"/>
      <c r="AC235" s="244">
        <f>AC$228</f>
        <v>8.2000000000000003E-2</v>
      </c>
      <c r="AD235" s="70">
        <f t="shared" si="294"/>
        <v>0</v>
      </c>
      <c r="AE235" s="54"/>
      <c r="AF235" s="244">
        <f t="shared" si="295"/>
        <v>8.2000000000000003E-2</v>
      </c>
      <c r="AG235" s="70">
        <f t="shared" si="296"/>
        <v>0</v>
      </c>
      <c r="AH235" s="178"/>
      <c r="AI235" s="249">
        <f t="shared" si="278"/>
        <v>-3.3974000000000004E-2</v>
      </c>
      <c r="AJ235" s="70">
        <f t="shared" si="278"/>
        <v>0</v>
      </c>
      <c r="AK235" s="54"/>
      <c r="AL235" s="247">
        <f t="shared" si="279"/>
        <v>-3.6293480000000003E-2</v>
      </c>
      <c r="AM235" s="70">
        <f t="shared" si="279"/>
        <v>0</v>
      </c>
      <c r="AN235" s="54"/>
      <c r="AO235" s="249">
        <f t="shared" si="280"/>
        <v>-1.3159999999999991E-2</v>
      </c>
      <c r="AP235" s="70">
        <f t="shared" si="280"/>
        <v>0</v>
      </c>
      <c r="AQ235" s="54"/>
      <c r="AR235" s="247">
        <f t="shared" si="281"/>
        <v>-1.3159999999999991E-2</v>
      </c>
      <c r="AS235" s="70">
        <f t="shared" si="281"/>
        <v>0</v>
      </c>
      <c r="AT235" s="178"/>
      <c r="AU235" s="245">
        <v>0.11597400000000001</v>
      </c>
      <c r="AV235" s="70">
        <v>0</v>
      </c>
      <c r="AW235" s="54"/>
      <c r="AX235" s="244">
        <v>0.11829348000000001</v>
      </c>
      <c r="AY235" s="70">
        <v>0</v>
      </c>
      <c r="AZ235" s="178"/>
      <c r="BA235" s="249">
        <v>9.5159999999999995E-2</v>
      </c>
      <c r="BB235" s="70">
        <v>0</v>
      </c>
      <c r="BC235" s="54"/>
      <c r="BD235" s="247">
        <v>9.5159999999999995E-2</v>
      </c>
      <c r="BE235" s="70">
        <v>0</v>
      </c>
      <c r="BF235" s="178"/>
      <c r="BG235" s="178"/>
      <c r="BH235" s="178"/>
      <c r="BI235" s="178"/>
      <c r="BJ235" s="178"/>
    </row>
    <row r="236" spans="2:62" ht="14.25" thickBot="1" x14ac:dyDescent="0.45">
      <c r="C236" s="64" t="s">
        <v>25</v>
      </c>
      <c r="D236" s="65"/>
      <c r="E236" s="251"/>
      <c r="F236" s="208">
        <f>SUM(F228:F235)</f>
        <v>36545449.394368567</v>
      </c>
      <c r="G236" s="54"/>
      <c r="H236" s="252">
        <f>IFERROR(I236/F236-1,0)</f>
        <v>-1</v>
      </c>
      <c r="I236" s="53"/>
      <c r="J236" s="54"/>
      <c r="K236" s="252">
        <f>IFERROR(L236/I236-1,0)</f>
        <v>0</v>
      </c>
      <c r="L236" s="53"/>
      <c r="M236" s="54"/>
      <c r="N236" s="253"/>
      <c r="O236" s="208">
        <f>SUM(O228:O235)</f>
        <v>47530246.729483336</v>
      </c>
      <c r="P236" s="54"/>
      <c r="Q236" s="252">
        <f>IFERROR(Q228/K228-1,0)</f>
        <v>9.6745726045315505E-2</v>
      </c>
      <c r="R236" s="208">
        <f>SUM(R228:R235)</f>
        <v>47393150.890928492</v>
      </c>
      <c r="S236" s="54"/>
      <c r="T236" s="252">
        <v>0</v>
      </c>
      <c r="U236" s="208">
        <f>SUM(U228:U235)</f>
        <v>51372013.836511791</v>
      </c>
      <c r="V236" s="54"/>
      <c r="W236" s="252"/>
      <c r="X236" s="208">
        <f>SUM(X228:X235)</f>
        <v>51690674.630042695</v>
      </c>
      <c r="Y236" s="54"/>
      <c r="Z236" s="252"/>
      <c r="AA236" s="208">
        <f>SUM(AA228:AA235)</f>
        <v>51783667.502372518</v>
      </c>
      <c r="AB236" s="54"/>
      <c r="AC236" s="254"/>
      <c r="AD236" s="208">
        <f>SUM(AD228:AD235)</f>
        <v>44751653.756814435</v>
      </c>
      <c r="AE236" s="54"/>
      <c r="AF236" s="254"/>
      <c r="AG236" s="208">
        <f>SUM(AG228:AG235)</f>
        <v>44917944.58125478</v>
      </c>
      <c r="AH236" s="178"/>
      <c r="AI236" s="252">
        <f t="shared" si="278"/>
        <v>-0.02</v>
      </c>
      <c r="AJ236" s="208">
        <f t="shared" si="278"/>
        <v>-15831388.072413236</v>
      </c>
      <c r="AK236" s="54"/>
      <c r="AL236" s="255">
        <f t="shared" si="279"/>
        <v>-0.02</v>
      </c>
      <c r="AM236" s="208">
        <f t="shared" si="279"/>
        <v>-16670836.721788593</v>
      </c>
      <c r="AN236" s="54"/>
      <c r="AO236" s="252">
        <f t="shared" si="280"/>
        <v>0</v>
      </c>
      <c r="AP236" s="208">
        <f t="shared" si="280"/>
        <v>-7761366.0880374759</v>
      </c>
      <c r="AQ236" s="54"/>
      <c r="AR236" s="255">
        <f t="shared" si="281"/>
        <v>0</v>
      </c>
      <c r="AS236" s="208">
        <f t="shared" si="281"/>
        <v>-8392573.6829846278</v>
      </c>
      <c r="AT236" s="178"/>
      <c r="AU236" s="254">
        <v>0.02</v>
      </c>
      <c r="AV236" s="208">
        <v>60583041.829227671</v>
      </c>
      <c r="AW236" s="54"/>
      <c r="AX236" s="254">
        <v>0.02</v>
      </c>
      <c r="AY236" s="208">
        <v>61588781.303043373</v>
      </c>
      <c r="AZ236" s="178"/>
      <c r="BA236" s="252">
        <v>0</v>
      </c>
      <c r="BB236" s="208">
        <v>52513019.844851911</v>
      </c>
      <c r="BC236" s="54"/>
      <c r="BD236" s="252">
        <v>0</v>
      </c>
      <c r="BE236" s="208">
        <v>53310518.264239408</v>
      </c>
      <c r="BF236" s="178"/>
      <c r="BG236" s="178"/>
      <c r="BH236" s="178"/>
      <c r="BI236" s="178"/>
      <c r="BJ236" s="178"/>
    </row>
    <row r="237" spans="2:62" ht="14.25" thickTop="1" x14ac:dyDescent="0.4">
      <c r="C237" s="235"/>
      <c r="D237" s="236"/>
      <c r="E237" s="251"/>
      <c r="F237" s="53"/>
      <c r="G237" s="54"/>
      <c r="H237" s="256" t="s">
        <v>93</v>
      </c>
      <c r="I237" s="53"/>
      <c r="J237" s="54"/>
      <c r="K237" s="256" t="s">
        <v>93</v>
      </c>
      <c r="L237" s="53"/>
      <c r="M237" s="54"/>
      <c r="N237" s="143"/>
      <c r="O237" s="53"/>
      <c r="P237" s="54"/>
      <c r="Q237" s="256" t="s">
        <v>93</v>
      </c>
      <c r="R237" s="53"/>
      <c r="S237" s="54"/>
      <c r="T237" s="256" t="s">
        <v>93</v>
      </c>
      <c r="U237" s="53"/>
      <c r="V237" s="54"/>
      <c r="W237" s="256" t="s">
        <v>93</v>
      </c>
      <c r="X237" s="53"/>
      <c r="Y237" s="54"/>
      <c r="Z237" s="256" t="s">
        <v>93</v>
      </c>
      <c r="AA237" s="53"/>
      <c r="AB237" s="54"/>
      <c r="AC237" s="257" t="s">
        <v>94</v>
      </c>
      <c r="AD237" s="53"/>
      <c r="AE237" s="54"/>
      <c r="AF237" s="257" t="s">
        <v>94</v>
      </c>
      <c r="AG237" s="53"/>
      <c r="AH237" s="178"/>
      <c r="AI237" s="256" t="s">
        <v>93</v>
      </c>
      <c r="AJ237" s="53"/>
      <c r="AK237" s="54"/>
      <c r="AL237" s="258" t="s">
        <v>93</v>
      </c>
      <c r="AM237" s="53"/>
      <c r="AN237" s="54"/>
      <c r="AO237" s="256" t="s">
        <v>93</v>
      </c>
      <c r="AP237" s="53"/>
      <c r="AQ237" s="54"/>
      <c r="AR237" s="258" t="s">
        <v>93</v>
      </c>
      <c r="AS237" s="53"/>
      <c r="AT237" s="178"/>
      <c r="AU237" s="257" t="s">
        <v>94</v>
      </c>
      <c r="AV237" s="53"/>
      <c r="AW237" s="54"/>
      <c r="AX237" s="257" t="s">
        <v>94</v>
      </c>
      <c r="AY237" s="53"/>
      <c r="AZ237" s="178"/>
      <c r="BA237" s="256" t="s">
        <v>93</v>
      </c>
      <c r="BB237" s="53"/>
      <c r="BC237" s="54"/>
      <c r="BD237" s="256" t="s">
        <v>93</v>
      </c>
      <c r="BE237" s="53"/>
      <c r="BF237" s="178"/>
      <c r="BG237" s="178"/>
      <c r="BH237" s="178"/>
      <c r="BI237" s="178"/>
      <c r="BJ237" s="178"/>
    </row>
    <row r="238" spans="2:62" x14ac:dyDescent="0.4">
      <c r="B238" s="2" t="s">
        <v>95</v>
      </c>
      <c r="C238" s="226"/>
      <c r="D238" s="227"/>
      <c r="E238" s="251"/>
      <c r="F238" s="53"/>
      <c r="G238" s="54"/>
      <c r="H238" s="251"/>
      <c r="I238" s="53"/>
      <c r="J238" s="54"/>
      <c r="K238" s="251"/>
      <c r="L238" s="53"/>
      <c r="M238" s="54"/>
      <c r="N238" s="251"/>
      <c r="O238" s="53"/>
      <c r="P238" s="54"/>
      <c r="Q238" s="251"/>
      <c r="R238" s="53"/>
      <c r="S238" s="54"/>
      <c r="T238" s="251"/>
      <c r="U238" s="53"/>
      <c r="V238" s="54"/>
      <c r="W238" s="251"/>
      <c r="X238" s="53"/>
      <c r="Y238" s="54"/>
      <c r="Z238" s="251"/>
      <c r="AA238" s="53"/>
      <c r="AB238" s="54"/>
      <c r="AC238" s="251"/>
      <c r="AD238" s="53"/>
      <c r="AE238" s="54"/>
      <c r="AF238" s="251"/>
      <c r="AG238" s="53"/>
      <c r="AH238" s="178"/>
      <c r="AI238" s="132"/>
      <c r="AJ238" s="53"/>
      <c r="AK238" s="54"/>
      <c r="AL238" s="251"/>
      <c r="AM238" s="53"/>
      <c r="AN238" s="54"/>
      <c r="AO238" s="132"/>
      <c r="AP238" s="53"/>
      <c r="AQ238" s="54"/>
      <c r="AR238" s="251"/>
      <c r="AS238" s="53"/>
      <c r="AT238" s="178"/>
      <c r="AU238" s="132"/>
      <c r="AV238" s="53"/>
      <c r="AW238" s="54"/>
      <c r="AX238" s="251"/>
      <c r="AY238" s="53"/>
      <c r="AZ238" s="178"/>
      <c r="BA238" s="132"/>
      <c r="BB238" s="53"/>
      <c r="BC238" s="54"/>
      <c r="BD238" s="251"/>
      <c r="BE238" s="53"/>
      <c r="BF238" s="178"/>
      <c r="BG238" s="178"/>
      <c r="BH238" s="178"/>
      <c r="BI238" s="178"/>
      <c r="BJ238" s="178"/>
    </row>
    <row r="239" spans="2:62" x14ac:dyDescent="0.4">
      <c r="C239" s="56" t="s">
        <v>17</v>
      </c>
      <c r="D239" s="246" t="s">
        <v>8</v>
      </c>
      <c r="E239" s="247">
        <v>6.4664166666666675E-2</v>
      </c>
      <c r="F239" s="70">
        <f>F30*E223*F213*E239</f>
        <v>5692238.2638104726</v>
      </c>
      <c r="G239" s="54"/>
      <c r="H239" s="247">
        <v>2.4610591198319001E-2</v>
      </c>
      <c r="I239" s="53"/>
      <c r="J239" s="54"/>
      <c r="K239" s="247">
        <v>2.6511181375464335E-2</v>
      </c>
      <c r="L239" s="53"/>
      <c r="M239" s="54"/>
      <c r="N239" s="247">
        <v>2.6511181375464335E-2</v>
      </c>
      <c r="O239" s="70">
        <f>O30*N223*O213*N239</f>
        <v>2273434.7041103062</v>
      </c>
      <c r="P239" s="54"/>
      <c r="Q239" s="247">
        <f>N239</f>
        <v>2.6511181375464335E-2</v>
      </c>
      <c r="R239" s="70">
        <f>R30*Q223*R213*Q239</f>
        <v>2273868.53555205</v>
      </c>
      <c r="S239" s="54"/>
      <c r="T239" s="247">
        <v>2.0840000000000001E-2</v>
      </c>
      <c r="U239" s="70">
        <f>U30*T223*U213*T239</f>
        <v>1814063.5643086354</v>
      </c>
      <c r="V239" s="54"/>
      <c r="W239" s="247">
        <f>T239*(1+W$247)</f>
        <v>2.0840000000000001E-2</v>
      </c>
      <c r="X239" s="70">
        <f>X30*W223*X213*W239</f>
        <v>1825467.5094513793</v>
      </c>
      <c r="Y239" s="54"/>
      <c r="Z239" s="247">
        <f>W239*(1+Z$247)</f>
        <v>2.0840000000000001E-2</v>
      </c>
      <c r="AA239" s="70">
        <f>AA30*Z223*AA213*Z239</f>
        <v>1828873.5504186724</v>
      </c>
      <c r="AB239" s="54"/>
      <c r="AC239" s="248">
        <f>0.025+0.001+0.001</f>
        <v>2.7000000000000003E-2</v>
      </c>
      <c r="AD239" s="70">
        <f>AD30*AC223*AD213*AC239</f>
        <v>2376359.8501026323</v>
      </c>
      <c r="AE239" s="54"/>
      <c r="AF239" s="248">
        <f>AC239*(1+AF$247)</f>
        <v>2.7000000000000003E-2</v>
      </c>
      <c r="AG239" s="70">
        <f>AG30*AF223*AG213*AF239</f>
        <v>2385116.2964276751</v>
      </c>
      <c r="AH239" s="178"/>
      <c r="AI239" s="249">
        <f t="shared" ref="AI239:AJ247" si="297">AC239-AU239</f>
        <v>4.8558000000000039E-3</v>
      </c>
      <c r="AJ239" s="70">
        <f t="shared" si="297"/>
        <v>504476.46531293914</v>
      </c>
      <c r="AK239" s="54"/>
      <c r="AL239" s="247">
        <f t="shared" ref="AL239:AM247" si="298">AF239-AX239</f>
        <v>4.4129160000000028E-3</v>
      </c>
      <c r="AM239" s="70">
        <f t="shared" si="298"/>
        <v>481616.93680679915</v>
      </c>
      <c r="AN239" s="54"/>
      <c r="AO239" s="249">
        <f t="shared" ref="AO239:AP247" si="299">AC239-BA239</f>
        <v>6.1600000000000023E-3</v>
      </c>
      <c r="AP239" s="70">
        <f t="shared" si="299"/>
        <v>521674.53554986743</v>
      </c>
      <c r="AQ239" s="54"/>
      <c r="AR239" s="247">
        <f t="shared" ref="AR239:AS247" si="300">AF239-BD239</f>
        <v>6.1600000000000023E-3</v>
      </c>
      <c r="AS239" s="70">
        <f t="shared" si="300"/>
        <v>502297.0389887779</v>
      </c>
      <c r="AT239" s="178"/>
      <c r="AU239" s="250">
        <v>2.2144199999999999E-2</v>
      </c>
      <c r="AV239" s="70">
        <v>1871883.3847896932</v>
      </c>
      <c r="AW239" s="54"/>
      <c r="AX239" s="248">
        <v>2.2587084E-2</v>
      </c>
      <c r="AY239" s="70">
        <v>1903499.3596208759</v>
      </c>
      <c r="AZ239" s="178"/>
      <c r="BA239" s="249">
        <v>2.0840000000000001E-2</v>
      </c>
      <c r="BB239" s="70">
        <v>1854685.3145527649</v>
      </c>
      <c r="BC239" s="54"/>
      <c r="BD239" s="247">
        <v>2.0840000000000001E-2</v>
      </c>
      <c r="BE239" s="70">
        <v>1882819.2574388972</v>
      </c>
      <c r="BF239" s="178"/>
      <c r="BG239" s="178"/>
      <c r="BH239" s="178"/>
      <c r="BI239" s="178"/>
      <c r="BJ239" s="178"/>
    </row>
    <row r="240" spans="2:62" x14ac:dyDescent="0.4">
      <c r="C240" s="56" t="s">
        <v>18</v>
      </c>
      <c r="D240" s="246" t="s">
        <v>8</v>
      </c>
      <c r="E240" s="247">
        <f>E239</f>
        <v>6.4664166666666675E-2</v>
      </c>
      <c r="F240" s="70">
        <f>F31*E224*F214*E240</f>
        <v>1633188.2149250098</v>
      </c>
      <c r="G240" s="54"/>
      <c r="H240" s="247">
        <f>H239</f>
        <v>2.4610591198319001E-2</v>
      </c>
      <c r="I240" s="53"/>
      <c r="J240" s="54"/>
      <c r="K240" s="247">
        <f>K239</f>
        <v>2.6511181375464335E-2</v>
      </c>
      <c r="L240" s="53"/>
      <c r="M240" s="54"/>
      <c r="N240" s="247">
        <v>2.6511181375464335E-2</v>
      </c>
      <c r="O240" s="70">
        <f>O31*N224*O214*N240</f>
        <v>685079.70704302215</v>
      </c>
      <c r="P240" s="54"/>
      <c r="Q240" s="247">
        <f>Q239</f>
        <v>2.6511181375464335E-2</v>
      </c>
      <c r="R240" s="70">
        <f>R31*Q224*R214*Q240</f>
        <v>675457.98073800083</v>
      </c>
      <c r="S240" s="54"/>
      <c r="T240" s="247">
        <f>T239</f>
        <v>2.0840000000000001E-2</v>
      </c>
      <c r="U240" s="70">
        <f>U31*T224*U214*T240</f>
        <v>536131.95463091938</v>
      </c>
      <c r="V240" s="54"/>
      <c r="W240" s="247">
        <f>W239</f>
        <v>2.0840000000000001E-2</v>
      </c>
      <c r="X240" s="70">
        <f>X31*W224*X214*W240</f>
        <v>539292.11930053856</v>
      </c>
      <c r="Y240" s="54"/>
      <c r="Z240" s="247">
        <f>Z239</f>
        <v>2.0840000000000001E-2</v>
      </c>
      <c r="AA240" s="70">
        <f>AA31*Z224*AA214*Z240</f>
        <v>540128.92562179139</v>
      </c>
      <c r="AB240" s="54"/>
      <c r="AC240" s="244">
        <f>AC239</f>
        <v>2.7000000000000003E-2</v>
      </c>
      <c r="AD240" s="70">
        <f>AD31*AC224*AD214*AC240</f>
        <v>701777.70092494297</v>
      </c>
      <c r="AE240" s="54"/>
      <c r="AF240" s="244">
        <f>AF239</f>
        <v>2.7000000000000003E-2</v>
      </c>
      <c r="AG240" s="70">
        <f>AG31*AF224*AG214*AF240</f>
        <v>704466.08390179195</v>
      </c>
      <c r="AH240" s="178"/>
      <c r="AI240" s="249">
        <f t="shared" si="297"/>
        <v>4.8558000000000039E-3</v>
      </c>
      <c r="AJ240" s="70">
        <f t="shared" si="297"/>
        <v>157796.05299648619</v>
      </c>
      <c r="AK240" s="54"/>
      <c r="AL240" s="247">
        <f t="shared" si="298"/>
        <v>4.4129160000000028E-3</v>
      </c>
      <c r="AM240" s="70">
        <f t="shared" si="298"/>
        <v>152045.24054537364</v>
      </c>
      <c r="AN240" s="54"/>
      <c r="AO240" s="249">
        <f t="shared" si="299"/>
        <v>6.1600000000000023E-3</v>
      </c>
      <c r="AP240" s="70">
        <f t="shared" si="299"/>
        <v>154099.02543627052</v>
      </c>
      <c r="AQ240" s="54"/>
      <c r="AR240" s="247">
        <f t="shared" si="300"/>
        <v>6.1600000000000023E-3</v>
      </c>
      <c r="AS240" s="70">
        <f t="shared" si="300"/>
        <v>148434.37009254447</v>
      </c>
      <c r="AT240" s="178"/>
      <c r="AU240" s="245">
        <v>2.2144199999999999E-2</v>
      </c>
      <c r="AV240" s="70">
        <v>543981.64792845678</v>
      </c>
      <c r="AW240" s="54"/>
      <c r="AX240" s="244">
        <v>2.2587084E-2</v>
      </c>
      <c r="AY240" s="70">
        <v>552420.84335641831</v>
      </c>
      <c r="AZ240" s="178"/>
      <c r="BA240" s="249">
        <v>2.0840000000000001E-2</v>
      </c>
      <c r="BB240" s="70">
        <v>547678.67548867245</v>
      </c>
      <c r="BC240" s="54"/>
      <c r="BD240" s="247">
        <v>2.0840000000000001E-2</v>
      </c>
      <c r="BE240" s="70">
        <v>556031.71380924748</v>
      </c>
      <c r="BF240" s="178"/>
      <c r="BG240" s="178"/>
      <c r="BH240" s="178"/>
      <c r="BI240" s="178"/>
      <c r="BJ240" s="178"/>
    </row>
    <row r="241" spans="2:62" x14ac:dyDescent="0.4">
      <c r="C241" s="56" t="s">
        <v>19</v>
      </c>
      <c r="D241" s="246" t="s">
        <v>8</v>
      </c>
      <c r="E241" s="247">
        <f t="shared" ref="E241:E246" si="301">E240</f>
        <v>6.4664166666666675E-2</v>
      </c>
      <c r="F241" s="70">
        <f t="shared" ref="F241:F246" si="302">F32*F215*E241</f>
        <v>24237866.440688018</v>
      </c>
      <c r="G241" s="54"/>
      <c r="H241" s="247">
        <f t="shared" ref="H241:H246" si="303">H240</f>
        <v>2.4610591198319001E-2</v>
      </c>
      <c r="I241" s="53"/>
      <c r="J241" s="54"/>
      <c r="K241" s="247">
        <f t="shared" ref="K241:K246" si="304">$K$239</f>
        <v>2.6511181375464335E-2</v>
      </c>
      <c r="L241" s="53"/>
      <c r="M241" s="54"/>
      <c r="N241" s="247">
        <v>2.6511181375464335E-2</v>
      </c>
      <c r="O241" s="70">
        <f t="shared" ref="O241:O246" si="305">O32*O215*N241</f>
        <v>9722248.5432503168</v>
      </c>
      <c r="P241" s="54"/>
      <c r="Q241" s="247">
        <f t="shared" ref="Q241:Q246" si="306">Q240</f>
        <v>2.6511181375464335E-2</v>
      </c>
      <c r="R241" s="70">
        <f t="shared" ref="R241:R246" si="307">R32*R215*Q241</f>
        <v>9300776.1582423672</v>
      </c>
      <c r="S241" s="54"/>
      <c r="T241" s="247">
        <f>T239</f>
        <v>2.0840000000000001E-2</v>
      </c>
      <c r="U241" s="70">
        <f t="shared" ref="U241:U246" si="308">U32*U215*T241</f>
        <v>7371128.1809990397</v>
      </c>
      <c r="V241" s="54"/>
      <c r="W241" s="247">
        <f>W239</f>
        <v>2.0840000000000001E-2</v>
      </c>
      <c r="X241" s="70">
        <f t="shared" ref="X241:X246" si="309">X32*X215*W241</f>
        <v>7444189.5771497078</v>
      </c>
      <c r="Y241" s="54"/>
      <c r="Z241" s="247">
        <f>Z239</f>
        <v>2.0840000000000001E-2</v>
      </c>
      <c r="AA241" s="70">
        <f t="shared" ref="AA241:AA246" si="310">AA32*AA215*Z241</f>
        <v>7488712.0536754755</v>
      </c>
      <c r="AB241" s="54"/>
      <c r="AC241" s="244">
        <f>AC239</f>
        <v>2.7000000000000003E-2</v>
      </c>
      <c r="AD241" s="70">
        <f t="shared" ref="AD241:AD246" si="311">AD32*AD215*AC241</f>
        <v>9769628.1050781868</v>
      </c>
      <c r="AE241" s="54"/>
      <c r="AF241" s="244">
        <f>AF239</f>
        <v>2.7000000000000003E-2</v>
      </c>
      <c r="AG241" s="70">
        <f t="shared" ref="AG241:AG246" si="312">AG32*AG215*AF241</f>
        <v>9849031.977901049</v>
      </c>
      <c r="AH241" s="178"/>
      <c r="AI241" s="249">
        <f t="shared" si="297"/>
        <v>4.8558000000000039E-3</v>
      </c>
      <c r="AJ241" s="70">
        <f t="shared" si="297"/>
        <v>2208984.1171671404</v>
      </c>
      <c r="AK241" s="54"/>
      <c r="AL241" s="247">
        <f t="shared" si="298"/>
        <v>4.4129160000000028E-3</v>
      </c>
      <c r="AM241" s="70">
        <f t="shared" si="298"/>
        <v>2127475.879948861</v>
      </c>
      <c r="AN241" s="54"/>
      <c r="AO241" s="249">
        <f t="shared" si="299"/>
        <v>6.1600000000000023E-3</v>
      </c>
      <c r="AP241" s="70">
        <f t="shared" si="299"/>
        <v>2141061.7167640468</v>
      </c>
      <c r="AQ241" s="54"/>
      <c r="AR241" s="247">
        <f t="shared" si="300"/>
        <v>6.1600000000000023E-3</v>
      </c>
      <c r="AS241" s="70">
        <f t="shared" si="300"/>
        <v>2069702.7240022784</v>
      </c>
      <c r="AT241" s="178"/>
      <c r="AU241" s="245">
        <v>2.2144199999999999E-2</v>
      </c>
      <c r="AV241" s="70">
        <v>7560643.9879110465</v>
      </c>
      <c r="AW241" s="54"/>
      <c r="AX241" s="244">
        <v>2.2587084E-2</v>
      </c>
      <c r="AY241" s="70">
        <v>7721556.097952188</v>
      </c>
      <c r="AZ241" s="178"/>
      <c r="BA241" s="249">
        <v>2.0840000000000001E-2</v>
      </c>
      <c r="BB241" s="70">
        <v>7628566.38831414</v>
      </c>
      <c r="BC241" s="54"/>
      <c r="BD241" s="247">
        <v>2.0840000000000001E-2</v>
      </c>
      <c r="BE241" s="70">
        <v>7779329.2538987705</v>
      </c>
      <c r="BF241" s="178"/>
      <c r="BG241" s="178"/>
      <c r="BH241" s="178"/>
      <c r="BI241" s="178"/>
      <c r="BJ241" s="178"/>
    </row>
    <row r="242" spans="2:62" x14ac:dyDescent="0.4">
      <c r="C242" s="56" t="s">
        <v>20</v>
      </c>
      <c r="D242" s="246" t="s">
        <v>8</v>
      </c>
      <c r="E242" s="247">
        <f t="shared" si="301"/>
        <v>6.4664166666666675E-2</v>
      </c>
      <c r="F242" s="70">
        <f t="shared" si="302"/>
        <v>5272669.1167518254</v>
      </c>
      <c r="G242" s="54"/>
      <c r="H242" s="247">
        <f t="shared" si="303"/>
        <v>2.4610591198319001E-2</v>
      </c>
      <c r="I242" s="53"/>
      <c r="J242" s="54"/>
      <c r="K242" s="247">
        <f t="shared" si="304"/>
        <v>2.6511181375464335E-2</v>
      </c>
      <c r="L242" s="53"/>
      <c r="M242" s="54"/>
      <c r="N242" s="247">
        <v>2.6511181375464335E-2</v>
      </c>
      <c r="O242" s="70">
        <f t="shared" si="305"/>
        <v>2007773.050363</v>
      </c>
      <c r="P242" s="54"/>
      <c r="Q242" s="247">
        <f t="shared" si="306"/>
        <v>2.6511181375464335E-2</v>
      </c>
      <c r="R242" s="70">
        <f t="shared" si="307"/>
        <v>2256676.7421840006</v>
      </c>
      <c r="S242" s="54"/>
      <c r="T242" s="247">
        <f>T239</f>
        <v>2.0840000000000001E-2</v>
      </c>
      <c r="U242" s="70">
        <f t="shared" si="308"/>
        <v>1932236.5804270154</v>
      </c>
      <c r="V242" s="54"/>
      <c r="W242" s="247">
        <f>W239</f>
        <v>2.0840000000000001E-2</v>
      </c>
      <c r="X242" s="70">
        <f t="shared" si="309"/>
        <v>1925673.0715617959</v>
      </c>
      <c r="Y242" s="54"/>
      <c r="Z242" s="247">
        <f>Z239</f>
        <v>2.0840000000000001E-2</v>
      </c>
      <c r="AA242" s="70">
        <f t="shared" si="310"/>
        <v>1911983.2643914851</v>
      </c>
      <c r="AB242" s="54"/>
      <c r="AC242" s="244">
        <f>AC239</f>
        <v>2.7000000000000003E-2</v>
      </c>
      <c r="AD242" s="70">
        <f t="shared" si="311"/>
        <v>2452667.4413159243</v>
      </c>
      <c r="AE242" s="54"/>
      <c r="AF242" s="244">
        <f>AF239</f>
        <v>2.7000000000000003E-2</v>
      </c>
      <c r="AG242" s="70">
        <f t="shared" si="312"/>
        <v>2429278.2372674844</v>
      </c>
      <c r="AH242" s="178"/>
      <c r="AI242" s="249">
        <f t="shared" si="297"/>
        <v>4.8558000000000039E-3</v>
      </c>
      <c r="AJ242" s="70">
        <f t="shared" si="297"/>
        <v>731349.87025402929</v>
      </c>
      <c r="AK242" s="54"/>
      <c r="AL242" s="247">
        <f t="shared" si="298"/>
        <v>4.4129160000000028E-3</v>
      </c>
      <c r="AM242" s="70">
        <f t="shared" si="298"/>
        <v>659361.39697303227</v>
      </c>
      <c r="AN242" s="54"/>
      <c r="AO242" s="249">
        <f t="shared" si="299"/>
        <v>6.1600000000000023E-3</v>
      </c>
      <c r="AP242" s="70">
        <f t="shared" si="299"/>
        <v>396747.26227082126</v>
      </c>
      <c r="AQ242" s="54"/>
      <c r="AR242" s="247">
        <f t="shared" si="300"/>
        <v>6.1600000000000023E-3</v>
      </c>
      <c r="AS242" s="70">
        <f t="shared" si="300"/>
        <v>391040.03393037291</v>
      </c>
      <c r="AT242" s="178"/>
      <c r="AU242" s="245">
        <v>2.2144199999999999E-2</v>
      </c>
      <c r="AV242" s="70">
        <v>1721317.571061895</v>
      </c>
      <c r="AW242" s="54"/>
      <c r="AX242" s="244">
        <v>2.2587084E-2</v>
      </c>
      <c r="AY242" s="70">
        <v>1769916.8402944522</v>
      </c>
      <c r="AZ242" s="178"/>
      <c r="BA242" s="249">
        <v>2.0840000000000001E-2</v>
      </c>
      <c r="BB242" s="70">
        <v>2055920.179045103</v>
      </c>
      <c r="BC242" s="54"/>
      <c r="BD242" s="247">
        <v>2.0840000000000001E-2</v>
      </c>
      <c r="BE242" s="70">
        <v>2038238.2033371115</v>
      </c>
      <c r="BF242" s="178"/>
      <c r="BG242" s="178"/>
      <c r="BH242" s="178"/>
      <c r="BI242" s="178"/>
      <c r="BJ242" s="178"/>
    </row>
    <row r="243" spans="2:62" x14ac:dyDescent="0.4">
      <c r="C243" s="56" t="s">
        <v>21</v>
      </c>
      <c r="D243" s="246" t="s">
        <v>8</v>
      </c>
      <c r="E243" s="247">
        <f t="shared" si="301"/>
        <v>6.4664166666666675E-2</v>
      </c>
      <c r="F243" s="70">
        <f t="shared" si="302"/>
        <v>2191281.2803486749</v>
      </c>
      <c r="G243" s="54"/>
      <c r="H243" s="247">
        <f t="shared" si="303"/>
        <v>2.4610591198319001E-2</v>
      </c>
      <c r="I243" s="53"/>
      <c r="J243" s="54"/>
      <c r="K243" s="247">
        <f t="shared" si="304"/>
        <v>2.6511181375464335E-2</v>
      </c>
      <c r="L243" s="53"/>
      <c r="M243" s="54"/>
      <c r="N243" s="247">
        <v>2.6511181375464335E-2</v>
      </c>
      <c r="O243" s="70">
        <f t="shared" si="305"/>
        <v>1213102.1328198197</v>
      </c>
      <c r="P243" s="54"/>
      <c r="Q243" s="247">
        <f t="shared" si="306"/>
        <v>2.6511181375464335E-2</v>
      </c>
      <c r="R243" s="70">
        <f t="shared" si="307"/>
        <v>1182950.8451910671</v>
      </c>
      <c r="S243" s="54"/>
      <c r="T243" s="247">
        <f>T239</f>
        <v>2.0840000000000001E-2</v>
      </c>
      <c r="U243" s="70">
        <f t="shared" si="308"/>
        <v>931795.37039848254</v>
      </c>
      <c r="V243" s="54"/>
      <c r="W243" s="247">
        <f>W239</f>
        <v>2.0840000000000001E-2</v>
      </c>
      <c r="X243" s="70">
        <f t="shared" si="309"/>
        <v>932254.72438078956</v>
      </c>
      <c r="Y243" s="54"/>
      <c r="Z243" s="247">
        <f>Z239</f>
        <v>2.0840000000000001E-2</v>
      </c>
      <c r="AA243" s="70">
        <f t="shared" si="310"/>
        <v>934262.73560464568</v>
      </c>
      <c r="AB243" s="54"/>
      <c r="AC243" s="244">
        <f>AC239</f>
        <v>2.7000000000000003E-2</v>
      </c>
      <c r="AD243" s="70">
        <f t="shared" si="311"/>
        <v>1209468.782192769</v>
      </c>
      <c r="AE243" s="54"/>
      <c r="AF243" s="244">
        <f>AF239</f>
        <v>2.7000000000000003E-2</v>
      </c>
      <c r="AG243" s="70">
        <f t="shared" si="312"/>
        <v>1204178.511899275</v>
      </c>
      <c r="AH243" s="178"/>
      <c r="AI243" s="249">
        <f t="shared" si="297"/>
        <v>4.8558000000000039E-3</v>
      </c>
      <c r="AJ243" s="70">
        <f t="shared" si="297"/>
        <v>296321.93281117606</v>
      </c>
      <c r="AK243" s="54"/>
      <c r="AL243" s="247">
        <f t="shared" si="298"/>
        <v>4.4129160000000028E-3</v>
      </c>
      <c r="AM243" s="70">
        <f t="shared" si="298"/>
        <v>294572.37714497151</v>
      </c>
      <c r="AN243" s="54"/>
      <c r="AO243" s="249">
        <f t="shared" si="299"/>
        <v>6.1600000000000023E-3</v>
      </c>
      <c r="AP243" s="70">
        <f t="shared" si="299"/>
        <v>275938.06290027627</v>
      </c>
      <c r="AQ243" s="54"/>
      <c r="AR243" s="247">
        <f t="shared" si="300"/>
        <v>6.1600000000000023E-3</v>
      </c>
      <c r="AS243" s="70">
        <f t="shared" si="300"/>
        <v>274731.09752961248</v>
      </c>
      <c r="AT243" s="178"/>
      <c r="AU243" s="245">
        <v>2.2144199999999999E-2</v>
      </c>
      <c r="AV243" s="70">
        <v>913146.84938159294</v>
      </c>
      <c r="AW243" s="54"/>
      <c r="AX243" s="244">
        <v>2.2587084E-2</v>
      </c>
      <c r="AY243" s="70">
        <v>909606.13475430349</v>
      </c>
      <c r="AZ243" s="178"/>
      <c r="BA243" s="249">
        <v>2.0840000000000001E-2</v>
      </c>
      <c r="BB243" s="70">
        <v>933530.71929249272</v>
      </c>
      <c r="BC243" s="54"/>
      <c r="BD243" s="247">
        <v>2.0840000000000001E-2</v>
      </c>
      <c r="BE243" s="70">
        <v>929447.41436966253</v>
      </c>
      <c r="BF243" s="178"/>
      <c r="BG243" s="178"/>
      <c r="BH243" s="178"/>
      <c r="BI243" s="178"/>
      <c r="BJ243" s="178"/>
    </row>
    <row r="244" spans="2:62" x14ac:dyDescent="0.4">
      <c r="C244" s="56" t="s">
        <v>22</v>
      </c>
      <c r="D244" s="246" t="s">
        <v>8</v>
      </c>
      <c r="E244" s="247">
        <f t="shared" si="301"/>
        <v>6.4664166666666675E-2</v>
      </c>
      <c r="F244" s="70">
        <f t="shared" si="302"/>
        <v>744935.41982941423</v>
      </c>
      <c r="G244" s="54"/>
      <c r="H244" s="247">
        <f t="shared" si="303"/>
        <v>2.4610591198319001E-2</v>
      </c>
      <c r="I244" s="53"/>
      <c r="J244" s="54"/>
      <c r="K244" s="247">
        <f t="shared" si="304"/>
        <v>2.6511181375464335E-2</v>
      </c>
      <c r="L244" s="53"/>
      <c r="M244" s="54"/>
      <c r="N244" s="247">
        <v>2.6511181375464335E-2</v>
      </c>
      <c r="O244" s="70">
        <f t="shared" si="305"/>
        <v>254585.7157543113</v>
      </c>
      <c r="P244" s="54"/>
      <c r="Q244" s="247">
        <f t="shared" si="306"/>
        <v>2.6511181375464335E-2</v>
      </c>
      <c r="R244" s="70">
        <f t="shared" si="307"/>
        <v>254162.2951883947</v>
      </c>
      <c r="S244" s="54"/>
      <c r="T244" s="247">
        <f>T239</f>
        <v>2.0840000000000001E-2</v>
      </c>
      <c r="U244" s="70">
        <f t="shared" si="308"/>
        <v>187472.13647919206</v>
      </c>
      <c r="V244" s="54"/>
      <c r="W244" s="247">
        <f>W239</f>
        <v>2.0840000000000001E-2</v>
      </c>
      <c r="X244" s="70">
        <f t="shared" si="309"/>
        <v>114461.45890872122</v>
      </c>
      <c r="Y244" s="54"/>
      <c r="Z244" s="247">
        <f>Z239</f>
        <v>2.0840000000000001E-2</v>
      </c>
      <c r="AA244" s="70">
        <f t="shared" si="310"/>
        <v>106065.41743083118</v>
      </c>
      <c r="AB244" s="54"/>
      <c r="AC244" s="244">
        <f>AC239</f>
        <v>2.7000000000000003E-2</v>
      </c>
      <c r="AD244" s="70">
        <f t="shared" si="311"/>
        <v>140026.00741619355</v>
      </c>
      <c r="AE244" s="54"/>
      <c r="AF244" s="244">
        <f>AF239</f>
        <v>2.7000000000000003E-2</v>
      </c>
      <c r="AG244" s="70">
        <f t="shared" si="312"/>
        <v>142687.40902578272</v>
      </c>
      <c r="AH244" s="178"/>
      <c r="AI244" s="249">
        <f t="shared" si="297"/>
        <v>4.8558000000000039E-3</v>
      </c>
      <c r="AJ244" s="70">
        <f t="shared" si="297"/>
        <v>27338.720112791183</v>
      </c>
      <c r="AK244" s="54"/>
      <c r="AL244" s="247">
        <f t="shared" si="298"/>
        <v>4.4129160000000028E-3</v>
      </c>
      <c r="AM244" s="70">
        <f t="shared" si="298"/>
        <v>22954.098351526889</v>
      </c>
      <c r="AN244" s="54"/>
      <c r="AO244" s="249">
        <f t="shared" si="299"/>
        <v>6.1600000000000023E-3</v>
      </c>
      <c r="AP244" s="70">
        <f t="shared" si="299"/>
        <v>31872.834504830622</v>
      </c>
      <c r="AQ244" s="54"/>
      <c r="AR244" s="247">
        <f t="shared" si="300"/>
        <v>6.1600000000000023E-3</v>
      </c>
      <c r="AS244" s="70">
        <f t="shared" si="300"/>
        <v>32405.385967482463</v>
      </c>
      <c r="AT244" s="178"/>
      <c r="AU244" s="245">
        <v>2.2144199999999999E-2</v>
      </c>
      <c r="AV244" s="70">
        <v>112687.28730340237</v>
      </c>
      <c r="AW244" s="54"/>
      <c r="AX244" s="244">
        <v>2.2587084E-2</v>
      </c>
      <c r="AY244" s="70">
        <v>119733.31067425583</v>
      </c>
      <c r="AZ244" s="178"/>
      <c r="BA244" s="249">
        <v>2.0840000000000001E-2</v>
      </c>
      <c r="BB244" s="70">
        <v>108153.17291136293</v>
      </c>
      <c r="BC244" s="54"/>
      <c r="BD244" s="247">
        <v>2.0840000000000001E-2</v>
      </c>
      <c r="BE244" s="70">
        <v>110282.02305830026</v>
      </c>
      <c r="BF244" s="178"/>
      <c r="BG244" s="178"/>
      <c r="BH244" s="178"/>
      <c r="BI244" s="178"/>
      <c r="BJ244" s="178"/>
    </row>
    <row r="245" spans="2:62" x14ac:dyDescent="0.4">
      <c r="C245" s="56" t="s">
        <v>23</v>
      </c>
      <c r="D245" s="246" t="s">
        <v>8</v>
      </c>
      <c r="E245" s="247">
        <f t="shared" si="301"/>
        <v>6.4664166666666675E-2</v>
      </c>
      <c r="F245" s="70">
        <f t="shared" si="302"/>
        <v>216402.96123154907</v>
      </c>
      <c r="G245" s="54"/>
      <c r="H245" s="247">
        <f t="shared" si="303"/>
        <v>2.4610591198319001E-2</v>
      </c>
      <c r="I245" s="53"/>
      <c r="J245" s="54"/>
      <c r="K245" s="247">
        <f t="shared" si="304"/>
        <v>2.6511181375464335E-2</v>
      </c>
      <c r="L245" s="53"/>
      <c r="M245" s="54"/>
      <c r="N245" s="247">
        <v>2.6511181375464335E-2</v>
      </c>
      <c r="O245" s="70">
        <f t="shared" si="305"/>
        <v>75617.329102485382</v>
      </c>
      <c r="P245" s="54"/>
      <c r="Q245" s="247">
        <f t="shared" si="306"/>
        <v>2.6511181375464335E-2</v>
      </c>
      <c r="R245" s="70">
        <f t="shared" si="307"/>
        <v>75090.282143158765</v>
      </c>
      <c r="S245" s="54"/>
      <c r="T245" s="247">
        <f>T239</f>
        <v>2.0840000000000001E-2</v>
      </c>
      <c r="U245" s="70">
        <f t="shared" si="308"/>
        <v>58708.427094223734</v>
      </c>
      <c r="V245" s="54"/>
      <c r="W245" s="247">
        <f>W239</f>
        <v>2.0840000000000001E-2</v>
      </c>
      <c r="X245" s="70">
        <f t="shared" si="309"/>
        <v>58285.709336233027</v>
      </c>
      <c r="Y245" s="54"/>
      <c r="Z245" s="247">
        <f>Z239</f>
        <v>2.0840000000000001E-2</v>
      </c>
      <c r="AA245" s="70">
        <f t="shared" si="310"/>
        <v>57962.100645465995</v>
      </c>
      <c r="AB245" s="54"/>
      <c r="AC245" s="244">
        <f>AC239</f>
        <v>2.7000000000000003E-2</v>
      </c>
      <c r="AD245" s="70">
        <f t="shared" si="311"/>
        <v>74459.02580020274</v>
      </c>
      <c r="AE245" s="54"/>
      <c r="AF245" s="244">
        <f>AF239</f>
        <v>2.7000000000000003E-2</v>
      </c>
      <c r="AG245" s="70">
        <f t="shared" si="312"/>
        <v>73563.292062443594</v>
      </c>
      <c r="AH245" s="178"/>
      <c r="AI245" s="249">
        <f t="shared" si="297"/>
        <v>4.8558000000000039E-3</v>
      </c>
      <c r="AJ245" s="70">
        <f t="shared" si="297"/>
        <v>14526.788548915712</v>
      </c>
      <c r="AK245" s="54"/>
      <c r="AL245" s="247">
        <f t="shared" si="298"/>
        <v>4.4129160000000028E-3</v>
      </c>
      <c r="AM245" s="70">
        <f t="shared" si="298"/>
        <v>11302.690839713396</v>
      </c>
      <c r="AN245" s="54"/>
      <c r="AO245" s="249">
        <f t="shared" si="299"/>
        <v>6.1600000000000023E-3</v>
      </c>
      <c r="AP245" s="70">
        <f t="shared" si="299"/>
        <v>16987.688849231447</v>
      </c>
      <c r="AQ245" s="54"/>
      <c r="AR245" s="247">
        <f t="shared" si="300"/>
        <v>6.1600000000000023E-3</v>
      </c>
      <c r="AS245" s="70">
        <f t="shared" si="300"/>
        <v>16783.328855727879</v>
      </c>
      <c r="AT245" s="178"/>
      <c r="AU245" s="245">
        <v>2.2144199999999999E-2</v>
      </c>
      <c r="AV245" s="70">
        <v>59932.237251287028</v>
      </c>
      <c r="AW245" s="54"/>
      <c r="AX245" s="244">
        <v>2.2587084E-2</v>
      </c>
      <c r="AY245" s="70">
        <v>62260.601222730198</v>
      </c>
      <c r="AZ245" s="178"/>
      <c r="BA245" s="249">
        <v>2.0840000000000001E-2</v>
      </c>
      <c r="BB245" s="70">
        <v>57471.336950971294</v>
      </c>
      <c r="BC245" s="54"/>
      <c r="BD245" s="247">
        <v>2.0840000000000001E-2</v>
      </c>
      <c r="BE245" s="70">
        <v>56779.963206715714</v>
      </c>
      <c r="BF245" s="178"/>
      <c r="BG245" s="178"/>
      <c r="BH245" s="178"/>
      <c r="BI245" s="178"/>
      <c r="BJ245" s="178"/>
    </row>
    <row r="246" spans="2:62" x14ac:dyDescent="0.4">
      <c r="C246" s="56" t="s">
        <v>24</v>
      </c>
      <c r="D246" s="246" t="s">
        <v>8</v>
      </c>
      <c r="E246" s="247">
        <f t="shared" si="301"/>
        <v>6.4664166666666675E-2</v>
      </c>
      <c r="F246" s="70">
        <f t="shared" si="302"/>
        <v>2601.2360624448434</v>
      </c>
      <c r="G246" s="54"/>
      <c r="H246" s="247">
        <f t="shared" si="303"/>
        <v>2.4610591198319001E-2</v>
      </c>
      <c r="I246" s="53"/>
      <c r="J246" s="54"/>
      <c r="K246" s="247">
        <f t="shared" si="304"/>
        <v>2.6511181375464335E-2</v>
      </c>
      <c r="L246" s="53"/>
      <c r="M246" s="54"/>
      <c r="N246" s="247">
        <v>2.6511181375464335E-2</v>
      </c>
      <c r="O246" s="70">
        <f t="shared" si="305"/>
        <v>966.19617667174248</v>
      </c>
      <c r="P246" s="54"/>
      <c r="Q246" s="247">
        <f t="shared" si="306"/>
        <v>2.6511181375464335E-2</v>
      </c>
      <c r="R246" s="70">
        <f t="shared" si="307"/>
        <v>0</v>
      </c>
      <c r="S246" s="54"/>
      <c r="T246" s="247">
        <f>T239</f>
        <v>2.0840000000000001E-2</v>
      </c>
      <c r="U246" s="70">
        <f t="shared" si="308"/>
        <v>749.49029486940083</v>
      </c>
      <c r="V246" s="54"/>
      <c r="W246" s="247">
        <f>W239</f>
        <v>2.0840000000000001E-2</v>
      </c>
      <c r="X246" s="70">
        <f t="shared" si="309"/>
        <v>719.16616519403181</v>
      </c>
      <c r="Y246" s="54"/>
      <c r="Z246" s="247">
        <f>Z239</f>
        <v>2.0840000000000001E-2</v>
      </c>
      <c r="AA246" s="70">
        <f t="shared" si="310"/>
        <v>691.21454673951166</v>
      </c>
      <c r="AB246" s="54"/>
      <c r="AC246" s="244">
        <f>AC239</f>
        <v>2.7000000000000003E-2</v>
      </c>
      <c r="AD246" s="70">
        <f t="shared" si="311"/>
        <v>858.19838819287395</v>
      </c>
      <c r="AE246" s="54"/>
      <c r="AF246" s="244">
        <f>AF239</f>
        <v>2.7000000000000003E-2</v>
      </c>
      <c r="AG246" s="70">
        <f t="shared" si="312"/>
        <v>819.47006429966416</v>
      </c>
      <c r="AH246" s="178"/>
      <c r="AI246" s="249">
        <f t="shared" si="297"/>
        <v>4.8558000000000039E-3</v>
      </c>
      <c r="AJ246" s="70">
        <f t="shared" si="297"/>
        <v>93.290780690509564</v>
      </c>
      <c r="AK246" s="54"/>
      <c r="AL246" s="247">
        <f t="shared" si="298"/>
        <v>4.4129160000000028E-3</v>
      </c>
      <c r="AM246" s="70">
        <f t="shared" si="298"/>
        <v>69.351038081766092</v>
      </c>
      <c r="AN246" s="54"/>
      <c r="AO246" s="249">
        <f t="shared" si="299"/>
        <v>6.1600000000000023E-3</v>
      </c>
      <c r="AP246" s="70">
        <f t="shared" si="299"/>
        <v>195.79637300992988</v>
      </c>
      <c r="AQ246" s="54"/>
      <c r="AR246" s="247">
        <f t="shared" si="300"/>
        <v>6.1600000000000023E-3</v>
      </c>
      <c r="AS246" s="70">
        <f t="shared" si="300"/>
        <v>186.96057763281226</v>
      </c>
      <c r="AT246" s="178"/>
      <c r="AU246" s="245">
        <v>2.2144199999999999E-2</v>
      </c>
      <c r="AV246" s="70">
        <v>764.90760750236439</v>
      </c>
      <c r="AW246" s="54"/>
      <c r="AX246" s="244">
        <v>2.2587084E-2</v>
      </c>
      <c r="AY246" s="70">
        <v>750.11902621789807</v>
      </c>
      <c r="AZ246" s="178"/>
      <c r="BA246" s="249">
        <v>2.0840000000000001E-2</v>
      </c>
      <c r="BB246" s="70">
        <v>662.40201518294407</v>
      </c>
      <c r="BC246" s="54"/>
      <c r="BD246" s="247">
        <v>2.0840000000000001E-2</v>
      </c>
      <c r="BE246" s="70">
        <v>632.5094866668519</v>
      </c>
      <c r="BF246" s="178"/>
      <c r="BG246" s="178"/>
      <c r="BH246" s="178"/>
      <c r="BI246" s="178"/>
      <c r="BJ246" s="178"/>
    </row>
    <row r="247" spans="2:62" ht="14.25" thickBot="1" x14ac:dyDescent="0.45">
      <c r="C247" s="64" t="s">
        <v>25</v>
      </c>
      <c r="D247" s="65"/>
      <c r="E247" s="251"/>
      <c r="F247" s="208">
        <f>SUM(F239:F246)</f>
        <v>39991182.933647409</v>
      </c>
      <c r="G247" s="54"/>
      <c r="H247" s="251"/>
      <c r="I247" s="53"/>
      <c r="J247" s="54"/>
      <c r="K247" s="252">
        <f>IFERROR(L247/I247-1,0)</f>
        <v>0</v>
      </c>
      <c r="L247" s="53"/>
      <c r="M247" s="54"/>
      <c r="N247" s="252">
        <f>IFERROR(O247/I247-1,0)</f>
        <v>0</v>
      </c>
      <c r="O247" s="208">
        <f>SUM(O239:O246)</f>
        <v>16232807.378619935</v>
      </c>
      <c r="P247" s="54"/>
      <c r="Q247" s="252">
        <f>IFERROR(R247/L247-1,0)</f>
        <v>0</v>
      </c>
      <c r="R247" s="208">
        <f>SUM(R239:R246)</f>
        <v>16018982.839239039</v>
      </c>
      <c r="S247" s="54"/>
      <c r="T247" s="252">
        <f>T236</f>
        <v>0</v>
      </c>
      <c r="U247" s="208">
        <f>SUM(U239:U246)</f>
        <v>12832285.704632377</v>
      </c>
      <c r="V247" s="54"/>
      <c r="W247" s="252">
        <f>W236</f>
        <v>0</v>
      </c>
      <c r="X247" s="208">
        <f>SUM(X239:X246)</f>
        <v>12840343.33625436</v>
      </c>
      <c r="Y247" s="54"/>
      <c r="Z247" s="252">
        <f>Z236</f>
        <v>0</v>
      </c>
      <c r="AA247" s="208">
        <f>SUM(AA239:AA246)</f>
        <v>12868679.262335109</v>
      </c>
      <c r="AB247" s="54"/>
      <c r="AC247" s="259">
        <f>AC$236</f>
        <v>0</v>
      </c>
      <c r="AD247" s="208">
        <f>SUM(AD239:AD246)</f>
        <v>16725245.111219045</v>
      </c>
      <c r="AE247" s="54"/>
      <c r="AF247" s="259">
        <f>AF$236</f>
        <v>0</v>
      </c>
      <c r="AG247" s="208">
        <f>SUM(AG239:AG246)</f>
        <v>16789141.278549805</v>
      </c>
      <c r="AH247" s="178"/>
      <c r="AI247" s="252">
        <f t="shared" si="297"/>
        <v>-0.02</v>
      </c>
      <c r="AJ247" s="208">
        <f t="shared" si="297"/>
        <v>3940887.2379841674</v>
      </c>
      <c r="AK247" s="54"/>
      <c r="AL247" s="255">
        <f t="shared" si="298"/>
        <v>-0.02</v>
      </c>
      <c r="AM247" s="208">
        <f t="shared" si="298"/>
        <v>3749397.9716483634</v>
      </c>
      <c r="AN247" s="54"/>
      <c r="AO247" s="252">
        <f t="shared" si="299"/>
        <v>0</v>
      </c>
      <c r="AP247" s="208">
        <f t="shared" si="299"/>
        <v>3538576.9226483535</v>
      </c>
      <c r="AQ247" s="54"/>
      <c r="AR247" s="255">
        <f t="shared" si="300"/>
        <v>0</v>
      </c>
      <c r="AS247" s="208">
        <f t="shared" si="300"/>
        <v>3435580.939944433</v>
      </c>
      <c r="AT247" s="178"/>
      <c r="AU247" s="259">
        <v>0.02</v>
      </c>
      <c r="AV247" s="208">
        <v>12784357.873234877</v>
      </c>
      <c r="AW247" s="54"/>
      <c r="AX247" s="259">
        <v>0.02</v>
      </c>
      <c r="AY247" s="208">
        <v>13039743.306901442</v>
      </c>
      <c r="AZ247" s="178"/>
      <c r="BA247" s="252">
        <v>0</v>
      </c>
      <c r="BB247" s="208">
        <v>13186668.188570691</v>
      </c>
      <c r="BC247" s="54"/>
      <c r="BD247" s="252">
        <v>0</v>
      </c>
      <c r="BE247" s="208">
        <v>13353560.338605372</v>
      </c>
      <c r="BF247" s="178"/>
      <c r="BG247" s="178"/>
      <c r="BH247" s="178"/>
      <c r="BI247" s="178"/>
      <c r="BJ247" s="178"/>
    </row>
    <row r="248" spans="2:62" ht="14.25" thickTop="1" x14ac:dyDescent="0.4">
      <c r="C248" s="217"/>
      <c r="D248" s="218"/>
      <c r="E248" s="251"/>
      <c r="F248" s="53"/>
      <c r="G248" s="54"/>
      <c r="H248" s="251"/>
      <c r="I248" s="53"/>
      <c r="J248" s="54"/>
      <c r="K248" s="256" t="s">
        <v>93</v>
      </c>
      <c r="L248" s="53"/>
      <c r="M248" s="54"/>
      <c r="N248" s="256" t="s">
        <v>93</v>
      </c>
      <c r="O248" s="53"/>
      <c r="P248" s="54"/>
      <c r="Q248" s="256" t="s">
        <v>93</v>
      </c>
      <c r="R248" s="53"/>
      <c r="S248" s="54"/>
      <c r="T248" s="256" t="s">
        <v>93</v>
      </c>
      <c r="U248" s="53"/>
      <c r="V248" s="54"/>
      <c r="W248" s="256" t="s">
        <v>93</v>
      </c>
      <c r="X248" s="53"/>
      <c r="Y248" s="54"/>
      <c r="Z248" s="256" t="s">
        <v>93</v>
      </c>
      <c r="AA248" s="53"/>
      <c r="AB248" s="54"/>
      <c r="AC248" s="167"/>
      <c r="AD248" s="53"/>
      <c r="AE248" s="54"/>
      <c r="AF248" s="167"/>
      <c r="AG248" s="53"/>
      <c r="AH248" s="178"/>
      <c r="AI248" s="256" t="s">
        <v>93</v>
      </c>
      <c r="AJ248" s="53"/>
      <c r="AK248" s="54"/>
      <c r="AL248" s="258" t="s">
        <v>93</v>
      </c>
      <c r="AM248" s="53"/>
      <c r="AN248" s="54"/>
      <c r="AO248" s="256" t="s">
        <v>93</v>
      </c>
      <c r="AP248" s="53"/>
      <c r="AQ248" s="54"/>
      <c r="AR248" s="258" t="s">
        <v>93</v>
      </c>
      <c r="AS248" s="53"/>
      <c r="AT248" s="178"/>
      <c r="AU248" s="206"/>
      <c r="AV248" s="53"/>
      <c r="AW248" s="54"/>
      <c r="AX248" s="167"/>
      <c r="AY248" s="53"/>
      <c r="AZ248" s="178"/>
      <c r="BA248" s="256" t="s">
        <v>93</v>
      </c>
      <c r="BB248" s="53"/>
      <c r="BC248" s="54"/>
      <c r="BD248" s="256" t="s">
        <v>93</v>
      </c>
      <c r="BE248" s="53"/>
      <c r="BF248" s="178"/>
      <c r="BG248" s="178"/>
      <c r="BH248" s="178"/>
      <c r="BI248" s="178"/>
      <c r="BJ248" s="178"/>
    </row>
    <row r="249" spans="2:62" x14ac:dyDescent="0.4">
      <c r="B249" s="2" t="s">
        <v>96</v>
      </c>
      <c r="C249" s="226"/>
      <c r="D249" s="227"/>
      <c r="E249" s="251"/>
      <c r="F249" s="53"/>
      <c r="G249" s="54"/>
      <c r="H249" s="251"/>
      <c r="I249" s="53"/>
      <c r="J249" s="54"/>
      <c r="K249" s="251"/>
      <c r="L249" s="53"/>
      <c r="M249" s="54"/>
      <c r="N249" s="251"/>
      <c r="O249" s="53"/>
      <c r="P249" s="54"/>
      <c r="Q249" s="251"/>
      <c r="R249" s="53"/>
      <c r="S249" s="54"/>
      <c r="T249" s="251"/>
      <c r="U249" s="53"/>
      <c r="V249" s="54"/>
      <c r="W249" s="251"/>
      <c r="X249" s="53"/>
      <c r="Y249" s="54"/>
      <c r="Z249" s="251"/>
      <c r="AA249" s="53"/>
      <c r="AB249" s="54"/>
      <c r="AC249" s="251"/>
      <c r="AD249" s="53"/>
      <c r="AE249" s="54"/>
      <c r="AF249" s="251"/>
      <c r="AG249" s="53"/>
      <c r="AH249" s="178"/>
      <c r="AI249" s="132"/>
      <c r="AJ249" s="53"/>
      <c r="AK249" s="54"/>
      <c r="AL249" s="251"/>
      <c r="AM249" s="53"/>
      <c r="AN249" s="54"/>
      <c r="AO249" s="132"/>
      <c r="AP249" s="53"/>
      <c r="AQ249" s="54"/>
      <c r="AR249" s="251"/>
      <c r="AS249" s="53"/>
      <c r="AT249" s="178"/>
      <c r="AU249" s="132"/>
      <c r="AV249" s="53"/>
      <c r="AW249" s="54"/>
      <c r="AX249" s="251"/>
      <c r="AY249" s="53"/>
      <c r="AZ249" s="178"/>
      <c r="BA249" s="132"/>
      <c r="BB249" s="53"/>
      <c r="BC249" s="54"/>
      <c r="BD249" s="251"/>
      <c r="BE249" s="53"/>
      <c r="BF249" s="178"/>
      <c r="BG249" s="178"/>
      <c r="BH249" s="178"/>
      <c r="BI249" s="178"/>
      <c r="BJ249" s="178"/>
    </row>
    <row r="250" spans="2:62" x14ac:dyDescent="0.4">
      <c r="C250" s="56" t="s">
        <v>17</v>
      </c>
      <c r="D250" s="246" t="s">
        <v>8</v>
      </c>
      <c r="E250" s="247">
        <v>0</v>
      </c>
      <c r="F250" s="70">
        <f t="shared" ref="F250:F257" si="313">F30*F213*E250</f>
        <v>0</v>
      </c>
      <c r="G250" s="54"/>
      <c r="H250" s="247">
        <v>4.9739999999999999E-2</v>
      </c>
      <c r="I250" s="53"/>
      <c r="J250" s="54"/>
      <c r="K250" s="247">
        <v>5.9686999999999997E-2</v>
      </c>
      <c r="L250" s="53"/>
      <c r="M250" s="54"/>
      <c r="N250" s="247">
        <v>6.2775547150466751E-2</v>
      </c>
      <c r="O250" s="70">
        <f>O30*O213*N250*N223</f>
        <v>5383242.0909565873</v>
      </c>
      <c r="P250" s="54"/>
      <c r="Q250" s="247">
        <f>K250*(1+Q$258)</f>
        <v>6.2775547150466751E-2</v>
      </c>
      <c r="R250" s="70">
        <f>R30*R213*Q250*Q223</f>
        <v>5384269.3558581704</v>
      </c>
      <c r="S250" s="54"/>
      <c r="T250" s="247">
        <v>7.4880000000000002E-2</v>
      </c>
      <c r="U250" s="70">
        <f>U30*U213*T250*T223</f>
        <v>6518094.035289376</v>
      </c>
      <c r="V250" s="54"/>
      <c r="W250" s="247">
        <f>T250*(1+W$247)</f>
        <v>7.4880000000000002E-2</v>
      </c>
      <c r="X250" s="70">
        <f>X30*X213*W250*W223</f>
        <v>6559069.4389500618</v>
      </c>
      <c r="Y250" s="54"/>
      <c r="Z250" s="247">
        <f>W250*(1+Z$247)</f>
        <v>7.4880000000000002E-2</v>
      </c>
      <c r="AA250" s="70">
        <f>AA30*AA213*Z250*Z223</f>
        <v>6571307.6514083575</v>
      </c>
      <c r="AB250" s="54"/>
      <c r="AC250" s="248">
        <v>5.5E-2</v>
      </c>
      <c r="AD250" s="70">
        <f>AD30*AD213*AC250*AC223</f>
        <v>4840733.0279868422</v>
      </c>
      <c r="AE250" s="54"/>
      <c r="AF250" s="248">
        <f>AC250*(1+AF258)</f>
        <v>5.5E-2</v>
      </c>
      <c r="AG250" s="70">
        <f>AG30*AG213*AF250*AF223</f>
        <v>4858570.2334637819</v>
      </c>
      <c r="AH250" s="178"/>
      <c r="AI250" s="249">
        <f t="shared" ref="AI250:AJ258" si="314">AC250-AU250</f>
        <v>-3.44234E-2</v>
      </c>
      <c r="AJ250" s="70">
        <f t="shared" si="314"/>
        <v>-2718364.9151044711</v>
      </c>
      <c r="AK250" s="54"/>
      <c r="AL250" s="247">
        <f t="shared" ref="AL250:AM258" si="315">AF250-AX250</f>
        <v>-3.6211868000000001E-2</v>
      </c>
      <c r="AM250" s="70">
        <f t="shared" si="315"/>
        <v>-2828200.3265529005</v>
      </c>
      <c r="AN250" s="54"/>
      <c r="AO250" s="249">
        <f t="shared" ref="AO250:AP258" si="316">AC250-BA250</f>
        <v>-1.9880000000000002E-2</v>
      </c>
      <c r="AP250" s="70">
        <f t="shared" si="316"/>
        <v>-1823318.6204637829</v>
      </c>
      <c r="AQ250" s="54"/>
      <c r="AR250" s="247">
        <f t="shared" ref="AR250:AS258" si="317">AF250-BD250</f>
        <v>-1.9880000000000002E-2</v>
      </c>
      <c r="AS250" s="70">
        <f t="shared" si="317"/>
        <v>-1906569.2097715652</v>
      </c>
      <c r="AT250" s="178"/>
      <c r="AU250" s="250">
        <v>8.94234E-2</v>
      </c>
      <c r="AV250" s="70">
        <v>7559097.9430913134</v>
      </c>
      <c r="AW250" s="54"/>
      <c r="AX250" s="248">
        <v>9.1211868000000001E-2</v>
      </c>
      <c r="AY250" s="70">
        <v>7686770.5600166824</v>
      </c>
      <c r="AZ250" s="178"/>
      <c r="BA250" s="249">
        <v>7.4880000000000002E-2</v>
      </c>
      <c r="BB250" s="70">
        <v>6664051.6484506251</v>
      </c>
      <c r="BC250" s="54"/>
      <c r="BD250" s="247">
        <v>7.4880000000000002E-2</v>
      </c>
      <c r="BE250" s="70">
        <v>6765139.443235347</v>
      </c>
      <c r="BF250" s="178"/>
      <c r="BG250" s="178"/>
      <c r="BH250" s="178"/>
      <c r="BI250" s="178"/>
      <c r="BJ250" s="178"/>
    </row>
    <row r="251" spans="2:62" x14ac:dyDescent="0.4">
      <c r="C251" s="56" t="s">
        <v>18</v>
      </c>
      <c r="D251" s="246" t="s">
        <v>8</v>
      </c>
      <c r="E251" s="247">
        <v>0</v>
      </c>
      <c r="F251" s="70">
        <f t="shared" si="313"/>
        <v>0</v>
      </c>
      <c r="G251" s="54"/>
      <c r="H251" s="247">
        <f>H250</f>
        <v>4.9739999999999999E-2</v>
      </c>
      <c r="I251" s="53"/>
      <c r="J251" s="54"/>
      <c r="K251" s="247">
        <f>K250</f>
        <v>5.9686999999999997E-2</v>
      </c>
      <c r="L251" s="53"/>
      <c r="M251" s="54"/>
      <c r="N251" s="247">
        <v>6.2775547150466751E-2</v>
      </c>
      <c r="O251" s="70">
        <f>O31*O214*N251*N224</f>
        <v>1622193.0227186622</v>
      </c>
      <c r="P251" s="54"/>
      <c r="Q251" s="247">
        <f t="shared" ref="Q251:Q257" si="318">K251*(1+Q$258)</f>
        <v>6.2775547150466751E-2</v>
      </c>
      <c r="R251" s="70">
        <f>R31*R214*Q251*Q224</f>
        <v>1599409.838341645</v>
      </c>
      <c r="S251" s="54"/>
      <c r="T251" s="247">
        <f>T250</f>
        <v>7.4880000000000002E-2</v>
      </c>
      <c r="U251" s="70">
        <f>U31*U214*T251*T224</f>
        <v>1926370.4780596565</v>
      </c>
      <c r="V251" s="54"/>
      <c r="W251" s="247">
        <f>W250</f>
        <v>7.4880000000000002E-2</v>
      </c>
      <c r="X251" s="70">
        <f>X31*X214*W251*W224</f>
        <v>1937725.2347996321</v>
      </c>
      <c r="Y251" s="54"/>
      <c r="Z251" s="247">
        <f>Z250</f>
        <v>7.4880000000000002E-2</v>
      </c>
      <c r="AA251" s="70">
        <f>AA31*AA214*Z251*Z224</f>
        <v>1940731.9554011393</v>
      </c>
      <c r="AB251" s="54"/>
      <c r="AC251" s="244">
        <f>AC250</f>
        <v>5.5E-2</v>
      </c>
      <c r="AD251" s="70">
        <f>AD31*AD214*AC251*AC224</f>
        <v>1429547.1685508094</v>
      </c>
      <c r="AE251" s="72"/>
      <c r="AF251" s="244">
        <f>AF250</f>
        <v>5.5E-2</v>
      </c>
      <c r="AG251" s="70">
        <f>AG31*AG214*AF251*AF224</f>
        <v>1435023.5042443906</v>
      </c>
      <c r="AH251" s="178"/>
      <c r="AI251" s="249">
        <f t="shared" si="314"/>
        <v>-3.44234E-2</v>
      </c>
      <c r="AJ251" s="70">
        <f t="shared" si="314"/>
        <v>-767176.51057806239</v>
      </c>
      <c r="AK251" s="54"/>
      <c r="AL251" s="247">
        <f t="shared" si="315"/>
        <v>-3.6211868000000001E-2</v>
      </c>
      <c r="AM251" s="70">
        <f t="shared" si="315"/>
        <v>-795779.59741646587</v>
      </c>
      <c r="AN251" s="54"/>
      <c r="AO251" s="249">
        <f t="shared" si="316"/>
        <v>-1.9880000000000002E-2</v>
      </c>
      <c r="AP251" s="70">
        <f t="shared" si="316"/>
        <v>-538311.71919351863</v>
      </c>
      <c r="AQ251" s="54"/>
      <c r="AR251" s="247">
        <f t="shared" si="317"/>
        <v>-1.9880000000000002E-2</v>
      </c>
      <c r="AS251" s="70">
        <f t="shared" si="317"/>
        <v>-562848.60372280958</v>
      </c>
      <c r="AT251" s="178"/>
      <c r="AU251" s="245">
        <v>8.94234E-2</v>
      </c>
      <c r="AV251" s="70">
        <v>2196723.6791288718</v>
      </c>
      <c r="AW251" s="72"/>
      <c r="AX251" s="244">
        <v>9.1211868000000001E-2</v>
      </c>
      <c r="AY251" s="70">
        <v>2230803.1016608565</v>
      </c>
      <c r="AZ251" s="178"/>
      <c r="BA251" s="249">
        <v>7.4880000000000002E-2</v>
      </c>
      <c r="BB251" s="70">
        <v>1967858.887744328</v>
      </c>
      <c r="BC251" s="54"/>
      <c r="BD251" s="247">
        <v>7.4880000000000002E-2</v>
      </c>
      <c r="BE251" s="70">
        <v>1997872.1079672002</v>
      </c>
      <c r="BF251" s="178"/>
      <c r="BG251" s="178"/>
      <c r="BH251" s="178"/>
      <c r="BI251" s="178"/>
      <c r="BJ251" s="178"/>
    </row>
    <row r="252" spans="2:62" x14ac:dyDescent="0.4">
      <c r="C252" s="56" t="s">
        <v>19</v>
      </c>
      <c r="D252" s="246" t="s">
        <v>8</v>
      </c>
      <c r="E252" s="247">
        <v>0</v>
      </c>
      <c r="F252" s="70">
        <f t="shared" si="313"/>
        <v>0</v>
      </c>
      <c r="G252" s="54"/>
      <c r="H252" s="247">
        <f>H250</f>
        <v>4.9739999999999999E-2</v>
      </c>
      <c r="I252" s="53"/>
      <c r="J252" s="54"/>
      <c r="K252" s="247">
        <f>K250</f>
        <v>5.9686999999999997E-2</v>
      </c>
      <c r="L252" s="53"/>
      <c r="M252" s="54"/>
      <c r="N252" s="247">
        <v>6.2775547150466751E-2</v>
      </c>
      <c r="O252" s="70">
        <f>O32*O215*N252</f>
        <v>23021209.926171292</v>
      </c>
      <c r="P252" s="54"/>
      <c r="Q252" s="247">
        <f t="shared" si="318"/>
        <v>6.2775547150466751E-2</v>
      </c>
      <c r="R252" s="70">
        <f t="shared" ref="R252:R257" si="319">R32*R215*Q252</f>
        <v>22023209.904860552</v>
      </c>
      <c r="S252" s="54"/>
      <c r="T252" s="247">
        <f>T250</f>
        <v>7.4880000000000002E-2</v>
      </c>
      <c r="U252" s="70">
        <f t="shared" ref="U252:U257" si="320">U32*U215*T252</f>
        <v>26485128.512150101</v>
      </c>
      <c r="V252" s="54"/>
      <c r="W252" s="247">
        <f>W250</f>
        <v>7.4880000000000002E-2</v>
      </c>
      <c r="X252" s="70">
        <f t="shared" ref="X252:X257" si="321">X32*X215*W252</f>
        <v>26747644.699470732</v>
      </c>
      <c r="Y252" s="54"/>
      <c r="Z252" s="247">
        <f>Z250</f>
        <v>7.4880000000000002E-2</v>
      </c>
      <c r="AA252" s="70">
        <f t="shared" ref="AA252:AA257" si="322">AA32*AA215*Z252</f>
        <v>26907617.974050846</v>
      </c>
      <c r="AB252" s="54"/>
      <c r="AC252" s="248">
        <v>7.8E-2</v>
      </c>
      <c r="AD252" s="70">
        <f t="shared" ref="AD252:AD257" si="323">AD32*AD215*AC252</f>
        <v>28223370.081336979</v>
      </c>
      <c r="AE252" s="72"/>
      <c r="AF252" s="248">
        <f>AC252</f>
        <v>7.8E-2</v>
      </c>
      <c r="AG252" s="70">
        <f t="shared" ref="AG252:AG257" si="324">AG32*AG215*AF252</f>
        <v>28452759.047269695</v>
      </c>
      <c r="AH252" s="178"/>
      <c r="AI252" s="249">
        <f t="shared" si="314"/>
        <v>-1.14234E-2</v>
      </c>
      <c r="AJ252" s="70">
        <f t="shared" si="314"/>
        <v>-2308258.5884079076</v>
      </c>
      <c r="AK252" s="54"/>
      <c r="AL252" s="247">
        <f t="shared" si="315"/>
        <v>-1.3211868000000002E-2</v>
      </c>
      <c r="AM252" s="70">
        <f t="shared" si="315"/>
        <v>-2728669.930504065</v>
      </c>
      <c r="AN252" s="54"/>
      <c r="AO252" s="249">
        <f t="shared" si="316"/>
        <v>3.1199999999999978E-3</v>
      </c>
      <c r="AP252" s="70">
        <f t="shared" si="316"/>
        <v>813242.86651150882</v>
      </c>
      <c r="AQ252" s="54"/>
      <c r="AR252" s="247">
        <f t="shared" si="317"/>
        <v>3.1199999999999978E-3</v>
      </c>
      <c r="AS252" s="70">
        <f t="shared" si="317"/>
        <v>500927.25590981543</v>
      </c>
      <c r="AT252" s="178"/>
      <c r="AU252" s="245">
        <v>8.94234E-2</v>
      </c>
      <c r="AV252" s="70">
        <v>30531628.669744886</v>
      </c>
      <c r="AW252" s="72"/>
      <c r="AX252" s="244">
        <v>9.1211868000000001E-2</v>
      </c>
      <c r="AY252" s="70">
        <v>31181428.97777376</v>
      </c>
      <c r="AZ252" s="178"/>
      <c r="BA252" s="249">
        <v>7.4880000000000002E-2</v>
      </c>
      <c r="BB252" s="70">
        <v>27410127.21482547</v>
      </c>
      <c r="BC252" s="54"/>
      <c r="BD252" s="247">
        <v>7.4880000000000002E-2</v>
      </c>
      <c r="BE252" s="70">
        <v>27951831.791359879</v>
      </c>
      <c r="BF252" s="178"/>
      <c r="BG252" s="178"/>
      <c r="BH252" s="178"/>
      <c r="BI252" s="178"/>
      <c r="BJ252" s="178"/>
    </row>
    <row r="253" spans="2:62" x14ac:dyDescent="0.4">
      <c r="C253" s="56" t="s">
        <v>20</v>
      </c>
      <c r="D253" s="246" t="s">
        <v>8</v>
      </c>
      <c r="E253" s="247">
        <v>0</v>
      </c>
      <c r="F253" s="70">
        <f t="shared" si="313"/>
        <v>0</v>
      </c>
      <c r="G253" s="54"/>
      <c r="H253" s="247">
        <f>H250</f>
        <v>4.9739999999999999E-2</v>
      </c>
      <c r="I253" s="53"/>
      <c r="J253" s="54"/>
      <c r="K253" s="247">
        <f>K250</f>
        <v>5.9686999999999997E-2</v>
      </c>
      <c r="L253" s="53"/>
      <c r="M253" s="54"/>
      <c r="N253" s="247">
        <v>6.2775547150466751E-2</v>
      </c>
      <c r="O253" s="70">
        <f>O33*O216*N253</f>
        <v>4754184.6591244722</v>
      </c>
      <c r="P253" s="54"/>
      <c r="Q253" s="247">
        <f t="shared" si="318"/>
        <v>6.2775547150466751E-2</v>
      </c>
      <c r="R253" s="70">
        <f t="shared" si="319"/>
        <v>5343561.0894141914</v>
      </c>
      <c r="S253" s="54"/>
      <c r="T253" s="247">
        <f>T250</f>
        <v>7.4880000000000002E-2</v>
      </c>
      <c r="U253" s="70">
        <f t="shared" si="320"/>
        <v>6942700.3427243242</v>
      </c>
      <c r="V253" s="54"/>
      <c r="W253" s="247">
        <f>W250</f>
        <v>7.4880000000000002E-2</v>
      </c>
      <c r="X253" s="70">
        <f t="shared" si="321"/>
        <v>6919117.0632700231</v>
      </c>
      <c r="Y253" s="54"/>
      <c r="Z253" s="247">
        <f>Z250</f>
        <v>7.4880000000000002E-2</v>
      </c>
      <c r="AA253" s="70">
        <f t="shared" si="322"/>
        <v>6869928.3511340888</v>
      </c>
      <c r="AB253" s="54"/>
      <c r="AC253" s="244">
        <v>8.7999999999999995E-2</v>
      </c>
      <c r="AD253" s="70">
        <f t="shared" si="323"/>
        <v>7993879.0679926416</v>
      </c>
      <c r="AE253" s="72"/>
      <c r="AF253" s="244">
        <f>AC253</f>
        <v>8.7999999999999995E-2</v>
      </c>
      <c r="AG253" s="70">
        <f t="shared" si="324"/>
        <v>7917647.588131059</v>
      </c>
      <c r="AH253" s="178"/>
      <c r="AI253" s="249">
        <f t="shared" si="314"/>
        <v>-1.4234000000000052E-3</v>
      </c>
      <c r="AJ253" s="70">
        <f t="shared" si="314"/>
        <v>1042800.6960443994</v>
      </c>
      <c r="AK253" s="54"/>
      <c r="AL253" s="247">
        <f t="shared" si="315"/>
        <v>-3.2118680000000066E-3</v>
      </c>
      <c r="AM253" s="70">
        <f t="shared" si="315"/>
        <v>770314.12942011375</v>
      </c>
      <c r="AN253" s="54"/>
      <c r="AO253" s="249">
        <f t="shared" si="316"/>
        <v>1.3119999999999993E-2</v>
      </c>
      <c r="AP253" s="70">
        <f t="shared" si="316"/>
        <v>606772.39779603388</v>
      </c>
      <c r="AQ253" s="54"/>
      <c r="AR253" s="247">
        <f t="shared" si="317"/>
        <v>1.3119999999999993E-2</v>
      </c>
      <c r="AS253" s="70">
        <f t="shared" si="317"/>
        <v>594073.85176431667</v>
      </c>
      <c r="AT253" s="178"/>
      <c r="AU253" s="245">
        <v>8.94234E-2</v>
      </c>
      <c r="AV253" s="70">
        <v>6951078.3719482422</v>
      </c>
      <c r="AW253" s="72"/>
      <c r="AX253" s="244">
        <v>9.1211868000000001E-2</v>
      </c>
      <c r="AY253" s="70">
        <v>7147333.4587109452</v>
      </c>
      <c r="AZ253" s="178"/>
      <c r="BA253" s="249">
        <v>7.4880000000000002E-2</v>
      </c>
      <c r="BB253" s="70">
        <v>7387106.6701966077</v>
      </c>
      <c r="BC253" s="54"/>
      <c r="BD253" s="247">
        <v>7.4880000000000002E-2</v>
      </c>
      <c r="BE253" s="70">
        <v>7323573.7363667423</v>
      </c>
      <c r="BF253" s="178"/>
      <c r="BG253" s="178"/>
      <c r="BH253" s="178"/>
      <c r="BI253" s="178"/>
      <c r="BJ253" s="178"/>
    </row>
    <row r="254" spans="2:62" x14ac:dyDescent="0.4">
      <c r="C254" s="56" t="s">
        <v>21</v>
      </c>
      <c r="D254" s="260" t="s">
        <v>97</v>
      </c>
      <c r="E254" s="247">
        <v>0</v>
      </c>
      <c r="F254" s="207">
        <f t="shared" si="313"/>
        <v>0</v>
      </c>
      <c r="G254" s="54"/>
      <c r="H254" s="247"/>
      <c r="I254" s="53"/>
      <c r="J254" s="54"/>
      <c r="K254" s="247" t="s">
        <v>98</v>
      </c>
      <c r="L254" s="53"/>
      <c r="M254" s="54"/>
      <c r="N254" s="247">
        <v>6.2775547150466751E-2</v>
      </c>
      <c r="O254" s="207">
        <v>2872491.7633297504</v>
      </c>
      <c r="P254" s="54"/>
      <c r="Q254" s="247">
        <f>Q253</f>
        <v>6.2775547150466751E-2</v>
      </c>
      <c r="R254" s="261">
        <f t="shared" si="319"/>
        <v>2801096.8469214691</v>
      </c>
      <c r="S254" s="54"/>
      <c r="T254" s="247">
        <f>T251</f>
        <v>7.4880000000000002E-2</v>
      </c>
      <c r="U254" s="261">
        <f t="shared" si="320"/>
        <v>3348024.8241573116</v>
      </c>
      <c r="V254" s="54"/>
      <c r="W254" s="247">
        <f>W250</f>
        <v>7.4880000000000002E-2</v>
      </c>
      <c r="X254" s="261">
        <f t="shared" si="321"/>
        <v>3349675.3244545837</v>
      </c>
      <c r="Y254" s="54"/>
      <c r="Z254" s="247">
        <f>Z250</f>
        <v>7.4880000000000002E-2</v>
      </c>
      <c r="AA254" s="261">
        <f t="shared" si="322"/>
        <v>3356890.2899268651</v>
      </c>
      <c r="AB254" s="54"/>
      <c r="AC254" s="244">
        <f t="shared" ref="AC254:AC257" si="325">AC253</f>
        <v>8.7999999999999995E-2</v>
      </c>
      <c r="AD254" s="70">
        <f>AD34*AD217*AC254</f>
        <v>3941972.3271468021</v>
      </c>
      <c r="AE254" s="72"/>
      <c r="AF254" s="244">
        <f t="shared" ref="AF254:AF257" si="326">AF253</f>
        <v>8.7999999999999995E-2</v>
      </c>
      <c r="AG254" s="70">
        <f t="shared" si="324"/>
        <v>3924729.9647087473</v>
      </c>
      <c r="AH254" s="178"/>
      <c r="AI254" s="249">
        <f t="shared" si="314"/>
        <v>-1.4234000000000052E-3</v>
      </c>
      <c r="AJ254" s="261">
        <f t="shared" si="314"/>
        <v>254474.20253674872</v>
      </c>
      <c r="AK254" s="54"/>
      <c r="AL254" s="247">
        <f t="shared" si="315"/>
        <v>-3.2118680000000066E-3</v>
      </c>
      <c r="AM254" s="261">
        <f t="shared" si="315"/>
        <v>251530.06448259391</v>
      </c>
      <c r="AN254" s="54"/>
      <c r="AO254" s="249">
        <f t="shared" si="316"/>
        <v>1.3119999999999993E-2</v>
      </c>
      <c r="AP254" s="261">
        <f t="shared" si="316"/>
        <v>587712.23786552297</v>
      </c>
      <c r="AQ254" s="54"/>
      <c r="AR254" s="247">
        <f t="shared" si="317"/>
        <v>1.3119999999999993E-2</v>
      </c>
      <c r="AS254" s="261">
        <f t="shared" si="317"/>
        <v>585141.55837475834</v>
      </c>
      <c r="AT254" s="178"/>
      <c r="AU254" s="245">
        <v>8.94234E-2</v>
      </c>
      <c r="AV254" s="70">
        <v>3687498.1246100534</v>
      </c>
      <c r="AW254" s="72"/>
      <c r="AX254" s="244">
        <v>9.1211868000000001E-2</v>
      </c>
      <c r="AY254" s="70">
        <v>3673199.9002261534</v>
      </c>
      <c r="AZ254" s="178"/>
      <c r="BA254" s="249">
        <v>7.4880000000000002E-2</v>
      </c>
      <c r="BB254" s="261">
        <v>3354260.0892812791</v>
      </c>
      <c r="BC254" s="54"/>
      <c r="BD254" s="247">
        <v>7.4880000000000002E-2</v>
      </c>
      <c r="BE254" s="261">
        <v>3339588.406333989</v>
      </c>
      <c r="BF254" s="178"/>
      <c r="BG254" s="178"/>
      <c r="BH254" s="178"/>
      <c r="BI254" s="178"/>
      <c r="BJ254" s="178"/>
    </row>
    <row r="255" spans="2:62" x14ac:dyDescent="0.4">
      <c r="C255" s="56" t="s">
        <v>22</v>
      </c>
      <c r="D255" s="246" t="s">
        <v>8</v>
      </c>
      <c r="E255" s="247">
        <v>0</v>
      </c>
      <c r="F255" s="70">
        <f t="shared" si="313"/>
        <v>0</v>
      </c>
      <c r="G255" s="54"/>
      <c r="H255" s="247">
        <f>H250</f>
        <v>4.9739999999999999E-2</v>
      </c>
      <c r="I255" s="53"/>
      <c r="J255" s="54"/>
      <c r="K255" s="247">
        <f>K250</f>
        <v>5.9686999999999997E-2</v>
      </c>
      <c r="L255" s="53"/>
      <c r="M255" s="54"/>
      <c r="N255" s="247">
        <v>6.2775547150466751E-2</v>
      </c>
      <c r="O255" s="70">
        <f>O35*O218*N255</f>
        <v>602830.83491560095</v>
      </c>
      <c r="P255" s="54"/>
      <c r="Q255" s="247">
        <f t="shared" si="318"/>
        <v>6.2775547150466751E-2</v>
      </c>
      <c r="R255" s="70">
        <f t="shared" si="319"/>
        <v>601828.2218172357</v>
      </c>
      <c r="S255" s="54"/>
      <c r="T255" s="247">
        <f>T250</f>
        <v>7.4880000000000002E-2</v>
      </c>
      <c r="U255" s="70">
        <f t="shared" si="320"/>
        <v>673604.29844346934</v>
      </c>
      <c r="V255" s="54"/>
      <c r="W255" s="247">
        <f>W250</f>
        <v>7.4880000000000002E-2</v>
      </c>
      <c r="X255" s="70">
        <f t="shared" si="321"/>
        <v>411270.34755686397</v>
      </c>
      <c r="Y255" s="54"/>
      <c r="Z255" s="247">
        <f>Z250</f>
        <v>7.4880000000000002E-2</v>
      </c>
      <c r="AA255" s="70">
        <f t="shared" si="322"/>
        <v>381102.61311039532</v>
      </c>
      <c r="AB255" s="54"/>
      <c r="AC255" s="244">
        <f t="shared" si="325"/>
        <v>8.7999999999999995E-2</v>
      </c>
      <c r="AD255" s="70">
        <f t="shared" si="323"/>
        <v>456381.06120833446</v>
      </c>
      <c r="AE255" s="72"/>
      <c r="AF255" s="244">
        <f t="shared" si="326"/>
        <v>8.7999999999999995E-2</v>
      </c>
      <c r="AG255" s="70">
        <f t="shared" si="324"/>
        <v>465055.25904699543</v>
      </c>
      <c r="AH255" s="178"/>
      <c r="AI255" s="249">
        <f t="shared" si="314"/>
        <v>-1.4234000000000052E-3</v>
      </c>
      <c r="AJ255" s="70">
        <f t="shared" si="314"/>
        <v>1323.7384128813865</v>
      </c>
      <c r="AK255" s="54"/>
      <c r="AL255" s="247">
        <f t="shared" si="315"/>
        <v>-3.2118680000000066E-3</v>
      </c>
      <c r="AM255" s="70">
        <f t="shared" si="315"/>
        <v>-18455.535370876954</v>
      </c>
      <c r="AN255" s="54"/>
      <c r="AO255" s="249">
        <f t="shared" si="316"/>
        <v>1.3119999999999993E-2</v>
      </c>
      <c r="AP255" s="70">
        <f t="shared" si="316"/>
        <v>67776.954317602445</v>
      </c>
      <c r="AQ255" s="54"/>
      <c r="AR255" s="247">
        <f t="shared" si="317"/>
        <v>1.3119999999999993E-2</v>
      </c>
      <c r="AS255" s="70">
        <f t="shared" si="317"/>
        <v>68802.001532335009</v>
      </c>
      <c r="AT255" s="178"/>
      <c r="AU255" s="245">
        <v>8.94234E-2</v>
      </c>
      <c r="AV255" s="70">
        <v>455057.32279545307</v>
      </c>
      <c r="AW255" s="72"/>
      <c r="AX255" s="244">
        <v>9.1211868000000001E-2</v>
      </c>
      <c r="AY255" s="70">
        <v>483510.79441787238</v>
      </c>
      <c r="AZ255" s="178"/>
      <c r="BA255" s="249">
        <v>7.4880000000000002E-2</v>
      </c>
      <c r="BB255" s="70">
        <v>388604.10689073202</v>
      </c>
      <c r="BC255" s="54"/>
      <c r="BD255" s="247">
        <v>7.4880000000000002E-2</v>
      </c>
      <c r="BE255" s="70">
        <v>396253.25751466042</v>
      </c>
      <c r="BF255" s="178"/>
      <c r="BG255" s="178"/>
      <c r="BH255" s="178"/>
      <c r="BI255" s="178"/>
      <c r="BJ255" s="178"/>
    </row>
    <row r="256" spans="2:62" x14ac:dyDescent="0.4">
      <c r="C256" s="56" t="s">
        <v>23</v>
      </c>
      <c r="D256" s="246" t="s">
        <v>8</v>
      </c>
      <c r="E256" s="247">
        <v>0</v>
      </c>
      <c r="F256" s="70">
        <f t="shared" si="313"/>
        <v>0</v>
      </c>
      <c r="G256" s="54"/>
      <c r="H256" s="247">
        <f>H250</f>
        <v>4.9739999999999999E-2</v>
      </c>
      <c r="I256" s="53"/>
      <c r="J256" s="54"/>
      <c r="K256" s="247">
        <f>K250</f>
        <v>5.9686999999999997E-2</v>
      </c>
      <c r="L256" s="53"/>
      <c r="M256" s="54"/>
      <c r="N256" s="247">
        <v>6.2775547150466751E-2</v>
      </c>
      <c r="O256" s="70">
        <f>O36*O219*N256</f>
        <v>179053.47714374695</v>
      </c>
      <c r="P256" s="54"/>
      <c r="Q256" s="247">
        <f t="shared" si="318"/>
        <v>6.2775547150466751E-2</v>
      </c>
      <c r="R256" s="70">
        <f t="shared" si="319"/>
        <v>177805.48819986914</v>
      </c>
      <c r="S256" s="54"/>
      <c r="T256" s="247">
        <f>T250</f>
        <v>7.4880000000000002E-2</v>
      </c>
      <c r="U256" s="70">
        <f t="shared" si="320"/>
        <v>210944.67470323769</v>
      </c>
      <c r="V256" s="54"/>
      <c r="W256" s="247">
        <f>W250</f>
        <v>7.4880000000000002E-2</v>
      </c>
      <c r="X256" s="70">
        <f t="shared" si="321"/>
        <v>209425.81166492941</v>
      </c>
      <c r="Y256" s="54"/>
      <c r="Z256" s="247">
        <f>Z250</f>
        <v>7.4880000000000002E-2</v>
      </c>
      <c r="AA256" s="70">
        <f t="shared" si="322"/>
        <v>208263.056445897</v>
      </c>
      <c r="AB256" s="54"/>
      <c r="AC256" s="244">
        <f t="shared" si="325"/>
        <v>8.7999999999999995E-2</v>
      </c>
      <c r="AD256" s="70">
        <f t="shared" si="323"/>
        <v>242681.2692747348</v>
      </c>
      <c r="AE256" s="72"/>
      <c r="AF256" s="244">
        <f t="shared" si="326"/>
        <v>8.7999999999999995E-2</v>
      </c>
      <c r="AG256" s="70">
        <f t="shared" si="324"/>
        <v>239761.8407961124</v>
      </c>
      <c r="AH256" s="178"/>
      <c r="AI256" s="249">
        <f t="shared" si="314"/>
        <v>-1.4234000000000052E-3</v>
      </c>
      <c r="AJ256" s="70">
        <f t="shared" si="314"/>
        <v>661.03713192808209</v>
      </c>
      <c r="AK256" s="54"/>
      <c r="AL256" s="247">
        <f t="shared" si="315"/>
        <v>-3.2118680000000066E-3</v>
      </c>
      <c r="AM256" s="70">
        <f t="shared" si="315"/>
        <v>-11660.863450629025</v>
      </c>
      <c r="AN256" s="54"/>
      <c r="AO256" s="249">
        <f t="shared" si="316"/>
        <v>1.3119999999999993E-2</v>
      </c>
      <c r="AP256" s="70">
        <f t="shared" si="316"/>
        <v>36181.57105550589</v>
      </c>
      <c r="AQ256" s="54"/>
      <c r="AR256" s="247">
        <f t="shared" si="317"/>
        <v>1.3119999999999993E-2</v>
      </c>
      <c r="AS256" s="70">
        <f t="shared" si="317"/>
        <v>35746.310809602175</v>
      </c>
      <c r="AT256" s="178"/>
      <c r="AU256" s="245">
        <v>8.94234E-2</v>
      </c>
      <c r="AV256" s="70">
        <v>242020.23214280672</v>
      </c>
      <c r="AW256" s="72"/>
      <c r="AX256" s="244">
        <v>9.1211868000000001E-2</v>
      </c>
      <c r="AY256" s="70">
        <v>251422.70424674143</v>
      </c>
      <c r="AZ256" s="178"/>
      <c r="BA256" s="249">
        <v>7.4880000000000002E-2</v>
      </c>
      <c r="BB256" s="70">
        <v>206499.69821922891</v>
      </c>
      <c r="BC256" s="54"/>
      <c r="BD256" s="247">
        <v>7.4880000000000002E-2</v>
      </c>
      <c r="BE256" s="70">
        <v>204015.52998651023</v>
      </c>
      <c r="BF256" s="178"/>
      <c r="BG256" s="178"/>
      <c r="BH256" s="178"/>
      <c r="BI256" s="178"/>
      <c r="BJ256" s="178"/>
    </row>
    <row r="257" spans="2:62" x14ac:dyDescent="0.4">
      <c r="C257" s="56" t="s">
        <v>24</v>
      </c>
      <c r="D257" s="246" t="s">
        <v>8</v>
      </c>
      <c r="E257" s="247">
        <v>0</v>
      </c>
      <c r="F257" s="70">
        <f t="shared" si="313"/>
        <v>0</v>
      </c>
      <c r="G257" s="54"/>
      <c r="H257" s="247">
        <f>H250</f>
        <v>4.9739999999999999E-2</v>
      </c>
      <c r="I257" s="53"/>
      <c r="J257" s="54"/>
      <c r="K257" s="247">
        <f>K250</f>
        <v>5.9686999999999997E-2</v>
      </c>
      <c r="L257" s="53"/>
      <c r="M257" s="54"/>
      <c r="N257" s="247">
        <v>6.2775547150466751E-2</v>
      </c>
      <c r="O257" s="70">
        <f>O37*O220*N257</f>
        <v>2287.845750298834</v>
      </c>
      <c r="P257" s="54"/>
      <c r="Q257" s="247">
        <f t="shared" si="318"/>
        <v>6.2775547150466751E-2</v>
      </c>
      <c r="R257" s="70">
        <f t="shared" si="319"/>
        <v>0</v>
      </c>
      <c r="S257" s="54"/>
      <c r="T257" s="247">
        <f>T250</f>
        <v>7.4880000000000002E-2</v>
      </c>
      <c r="U257" s="70">
        <f t="shared" si="320"/>
        <v>2692.9862418340085</v>
      </c>
      <c r="V257" s="54"/>
      <c r="W257" s="247">
        <f>W250</f>
        <v>7.4880000000000002E-2</v>
      </c>
      <c r="X257" s="70">
        <f t="shared" si="321"/>
        <v>2584.0289083363291</v>
      </c>
      <c r="Y257" s="54"/>
      <c r="Z257" s="247">
        <f>Z250</f>
        <v>7.4880000000000002E-2</v>
      </c>
      <c r="AA257" s="70">
        <f t="shared" si="322"/>
        <v>2483.596221682084</v>
      </c>
      <c r="AB257" s="54"/>
      <c r="AC257" s="244">
        <f t="shared" si="325"/>
        <v>8.7999999999999995E-2</v>
      </c>
      <c r="AD257" s="70">
        <f t="shared" si="323"/>
        <v>2797.0910429989958</v>
      </c>
      <c r="AE257" s="72"/>
      <c r="AF257" s="244">
        <f t="shared" si="326"/>
        <v>8.7999999999999995E-2</v>
      </c>
      <c r="AG257" s="70">
        <f t="shared" si="324"/>
        <v>2670.8653947544603</v>
      </c>
      <c r="AH257" s="178"/>
      <c r="AI257" s="249">
        <f t="shared" si="314"/>
        <v>-1.4234000000000052E-3</v>
      </c>
      <c r="AJ257" s="70">
        <f t="shared" si="314"/>
        <v>-291.78274556536553</v>
      </c>
      <c r="AK257" s="54"/>
      <c r="AL257" s="247">
        <f t="shared" si="315"/>
        <v>-3.2118680000000066E-3</v>
      </c>
      <c r="AM257" s="70">
        <f t="shared" si="315"/>
        <v>-358.28868302182354</v>
      </c>
      <c r="AN257" s="54"/>
      <c r="AO257" s="249">
        <f t="shared" si="316"/>
        <v>1.3119999999999993E-2</v>
      </c>
      <c r="AP257" s="70">
        <f t="shared" si="316"/>
        <v>417.02084641075908</v>
      </c>
      <c r="AQ257" s="54"/>
      <c r="AR257" s="247">
        <f t="shared" si="317"/>
        <v>1.3119999999999993E-2</v>
      </c>
      <c r="AS257" s="70">
        <f t="shared" si="317"/>
        <v>398.20174976339194</v>
      </c>
      <c r="AT257" s="178"/>
      <c r="AU257" s="245">
        <v>8.94234E-2</v>
      </c>
      <c r="AV257" s="70">
        <v>3088.8737885643613</v>
      </c>
      <c r="AW257" s="72"/>
      <c r="AX257" s="244">
        <v>9.1211868000000001E-2</v>
      </c>
      <c r="AY257" s="70">
        <v>3029.1540777762839</v>
      </c>
      <c r="AZ257" s="178"/>
      <c r="BA257" s="249">
        <v>7.4880000000000002E-2</v>
      </c>
      <c r="BB257" s="70">
        <v>2380.0701965882367</v>
      </c>
      <c r="BC257" s="54"/>
      <c r="BD257" s="247">
        <v>7.4880000000000002E-2</v>
      </c>
      <c r="BE257" s="70">
        <v>2272.6636449910684</v>
      </c>
      <c r="BF257" s="178"/>
      <c r="BG257" s="178"/>
      <c r="BH257" s="178"/>
      <c r="BI257" s="178"/>
      <c r="BJ257" s="178"/>
    </row>
    <row r="258" spans="2:62" ht="14.25" thickBot="1" x14ac:dyDescent="0.45">
      <c r="C258" s="64" t="s">
        <v>25</v>
      </c>
      <c r="D258" s="65"/>
      <c r="E258" s="251"/>
      <c r="F258" s="208">
        <f>SUM(F250:F257)</f>
        <v>0</v>
      </c>
      <c r="G258" s="54"/>
      <c r="H258" s="251"/>
      <c r="I258" s="53"/>
      <c r="J258" s="54"/>
      <c r="K258" s="252">
        <f>IFERROR(L258/I258-1,0)</f>
        <v>0</v>
      </c>
      <c r="L258" s="53"/>
      <c r="M258" s="54"/>
      <c r="N258" s="252">
        <f>IFERROR(O258/I258-1,0)</f>
        <v>0</v>
      </c>
      <c r="O258" s="208">
        <f>SUM(O250:O257)</f>
        <v>38437493.620110415</v>
      </c>
      <c r="P258" s="54"/>
      <c r="Q258" s="252">
        <f>Q236-0.045</f>
        <v>5.1745726045315507E-2</v>
      </c>
      <c r="R258" s="208">
        <f>SUM(R250:R257)</f>
        <v>37931180.745413125</v>
      </c>
      <c r="S258" s="54"/>
      <c r="T258" s="252">
        <f>T236</f>
        <v>0</v>
      </c>
      <c r="U258" s="208">
        <f>SUM(U250:U257)</f>
        <v>46107560.15176931</v>
      </c>
      <c r="V258" s="54"/>
      <c r="W258" s="252">
        <f>W236</f>
        <v>0</v>
      </c>
      <c r="X258" s="208">
        <f>SUM(X250:X257)</f>
        <v>46136511.94907517</v>
      </c>
      <c r="Y258" s="54"/>
      <c r="Z258" s="252">
        <f>Z236</f>
        <v>0</v>
      </c>
      <c r="AA258" s="208">
        <f>SUM(AA250:AA257)</f>
        <v>46238325.487699278</v>
      </c>
      <c r="AB258" s="54"/>
      <c r="AC258" s="259">
        <f>AC$236</f>
        <v>0</v>
      </c>
      <c r="AD258" s="208">
        <f>SUM(AD250:AD257)</f>
        <v>47131361.094540142</v>
      </c>
      <c r="AE258" s="54"/>
      <c r="AF258" s="259">
        <f>AF$236</f>
        <v>0</v>
      </c>
      <c r="AG258" s="208">
        <f>SUM(AG250:AG257)</f>
        <v>47296218.303055532</v>
      </c>
      <c r="AH258" s="178"/>
      <c r="AI258" s="252">
        <f t="shared" si="314"/>
        <v>-0.02</v>
      </c>
      <c r="AJ258" s="208">
        <f t="shared" si="314"/>
        <v>-4494832.1227100417</v>
      </c>
      <c r="AK258" s="54"/>
      <c r="AL258" s="255">
        <f t="shared" si="315"/>
        <v>-0.02</v>
      </c>
      <c r="AM258" s="208">
        <f t="shared" si="315"/>
        <v>-5361280.3480752558</v>
      </c>
      <c r="AN258" s="54"/>
      <c r="AO258" s="252">
        <f t="shared" si="316"/>
        <v>0</v>
      </c>
      <c r="AP258" s="208">
        <f t="shared" si="316"/>
        <v>-249527.29126472026</v>
      </c>
      <c r="AQ258" s="54"/>
      <c r="AR258" s="255">
        <f t="shared" si="317"/>
        <v>0</v>
      </c>
      <c r="AS258" s="208">
        <f t="shared" si="317"/>
        <v>-684328.63335378468</v>
      </c>
      <c r="AT258" s="178"/>
      <c r="AU258" s="259">
        <v>0.02</v>
      </c>
      <c r="AV258" s="208">
        <v>51626193.217250183</v>
      </c>
      <c r="AW258" s="54"/>
      <c r="AX258" s="259">
        <v>0.02</v>
      </c>
      <c r="AY258" s="208">
        <v>52657498.651130788</v>
      </c>
      <c r="AZ258" s="178"/>
      <c r="BA258" s="252">
        <v>0</v>
      </c>
      <c r="BB258" s="208">
        <v>47380888.385804862</v>
      </c>
      <c r="BC258" s="54"/>
      <c r="BD258" s="252">
        <v>0</v>
      </c>
      <c r="BE258" s="208">
        <v>47980546.936409317</v>
      </c>
      <c r="BF258" s="178"/>
      <c r="BG258" s="178"/>
      <c r="BH258" s="178"/>
      <c r="BI258" s="178"/>
      <c r="BJ258" s="178"/>
    </row>
    <row r="259" spans="2:62" ht="14.25" thickTop="1" x14ac:dyDescent="0.4">
      <c r="C259" s="217"/>
      <c r="D259" s="218"/>
      <c r="E259" s="251"/>
      <c r="F259" s="53"/>
      <c r="G259" s="54"/>
      <c r="H259" s="251"/>
      <c r="I259" s="53"/>
      <c r="J259" s="54"/>
      <c r="K259" s="256" t="s">
        <v>93</v>
      </c>
      <c r="L259" s="53"/>
      <c r="M259" s="54"/>
      <c r="N259" s="256" t="s">
        <v>93</v>
      </c>
      <c r="O259" s="70">
        <f>N212</f>
        <v>0</v>
      </c>
      <c r="P259" s="54"/>
      <c r="Q259" s="256" t="s">
        <v>93</v>
      </c>
      <c r="R259" s="53"/>
      <c r="S259" s="54"/>
      <c r="T259" s="256" t="s">
        <v>93</v>
      </c>
      <c r="U259" s="53"/>
      <c r="V259" s="54"/>
      <c r="W259" s="256" t="s">
        <v>93</v>
      </c>
      <c r="X259" s="53"/>
      <c r="Y259" s="54"/>
      <c r="Z259" s="256" t="s">
        <v>93</v>
      </c>
      <c r="AA259" s="53"/>
      <c r="AB259" s="54"/>
      <c r="AC259" s="167"/>
      <c r="AD259" s="53"/>
      <c r="AE259" s="54"/>
      <c r="AF259" s="167"/>
      <c r="AG259" s="53"/>
      <c r="AH259" s="178"/>
      <c r="AI259" s="256" t="s">
        <v>93</v>
      </c>
      <c r="AJ259" s="53"/>
      <c r="AK259" s="54"/>
      <c r="AL259" s="258" t="s">
        <v>93</v>
      </c>
      <c r="AM259" s="53"/>
      <c r="AN259" s="54"/>
      <c r="AO259" s="256" t="s">
        <v>93</v>
      </c>
      <c r="AP259" s="53"/>
      <c r="AQ259" s="54"/>
      <c r="AR259" s="258" t="s">
        <v>93</v>
      </c>
      <c r="AS259" s="53"/>
      <c r="AT259" s="178"/>
      <c r="AU259" s="206"/>
      <c r="AV259" s="53"/>
      <c r="AW259" s="54"/>
      <c r="AX259" s="167"/>
      <c r="AY259" s="53"/>
      <c r="AZ259" s="178"/>
      <c r="BA259" s="256" t="s">
        <v>93</v>
      </c>
      <c r="BB259" s="53"/>
      <c r="BC259" s="54"/>
      <c r="BD259" s="256" t="s">
        <v>93</v>
      </c>
      <c r="BE259" s="53"/>
      <c r="BF259" s="178"/>
      <c r="BG259" s="178"/>
      <c r="BH259" s="178"/>
      <c r="BI259" s="178"/>
      <c r="BJ259" s="178"/>
    </row>
    <row r="260" spans="2:62" x14ac:dyDescent="0.4">
      <c r="B260" s="2" t="s">
        <v>99</v>
      </c>
      <c r="C260" s="226"/>
      <c r="D260" s="227"/>
      <c r="E260" s="251"/>
      <c r="F260" s="53"/>
      <c r="G260" s="54"/>
      <c r="H260" s="251"/>
      <c r="I260" s="53"/>
      <c r="J260" s="54"/>
      <c r="K260" s="251"/>
      <c r="L260" s="53"/>
      <c r="M260" s="54"/>
      <c r="N260" s="251"/>
      <c r="O260" s="53"/>
      <c r="P260" s="54"/>
      <c r="Q260" s="251"/>
      <c r="R260" s="53"/>
      <c r="S260" s="54"/>
      <c r="T260" s="251"/>
      <c r="U260" s="53"/>
      <c r="V260" s="54"/>
      <c r="W260" s="251"/>
      <c r="X260" s="53"/>
      <c r="Y260" s="54"/>
      <c r="Z260" s="251"/>
      <c r="AA260" s="53"/>
      <c r="AB260" s="54"/>
      <c r="AC260" s="251"/>
      <c r="AD260" s="53"/>
      <c r="AE260" s="54"/>
      <c r="AF260" s="251"/>
      <c r="AG260" s="53"/>
      <c r="AH260" s="178"/>
      <c r="AI260" s="132"/>
      <c r="AJ260" s="53"/>
      <c r="AK260" s="54"/>
      <c r="AL260" s="251"/>
      <c r="AM260" s="53"/>
      <c r="AN260" s="54"/>
      <c r="AO260" s="132"/>
      <c r="AP260" s="53"/>
      <c r="AQ260" s="54"/>
      <c r="AR260" s="251"/>
      <c r="AS260" s="53"/>
      <c r="AT260" s="178"/>
      <c r="AU260" s="132"/>
      <c r="AV260" s="53"/>
      <c r="AW260" s="54"/>
      <c r="AX260" s="251"/>
      <c r="AY260" s="53"/>
      <c r="AZ260" s="178"/>
      <c r="BA260" s="132"/>
      <c r="BB260" s="53"/>
      <c r="BC260" s="54"/>
      <c r="BD260" s="251"/>
      <c r="BE260" s="53"/>
      <c r="BF260" s="178"/>
      <c r="BG260" s="178"/>
      <c r="BH260" s="178"/>
      <c r="BI260" s="178"/>
      <c r="BJ260" s="178"/>
    </row>
    <row r="261" spans="2:62" x14ac:dyDescent="0.4">
      <c r="C261" s="56" t="s">
        <v>17</v>
      </c>
      <c r="D261" s="246" t="s">
        <v>8</v>
      </c>
      <c r="E261" s="262">
        <v>6.6E-3</v>
      </c>
      <c r="F261" s="70">
        <f>F30*F213*E261</f>
        <v>3417546.2399910036</v>
      </c>
      <c r="G261" s="54"/>
      <c r="H261" s="262">
        <v>6.6E-3</v>
      </c>
      <c r="I261" s="53"/>
      <c r="J261" s="54"/>
      <c r="K261" s="262">
        <v>7.1999999999999998E-3</v>
      </c>
      <c r="L261" s="53"/>
      <c r="M261" s="54"/>
      <c r="N261" s="262">
        <v>6.6E-3</v>
      </c>
      <c r="O261" s="70">
        <f>O30*O213*N261</f>
        <v>3329265.4088376006</v>
      </c>
      <c r="P261" s="54"/>
      <c r="Q261" s="262">
        <f>N261</f>
        <v>6.6E-3</v>
      </c>
      <c r="R261" s="70">
        <f>R30*R213*Q261</f>
        <v>3329900.7206895975</v>
      </c>
      <c r="S261" s="54"/>
      <c r="T261" s="262">
        <f>Q261</f>
        <v>6.6E-3</v>
      </c>
      <c r="U261" s="70">
        <f>U30*U213*T261</f>
        <v>3379479.373500336</v>
      </c>
      <c r="V261" s="54"/>
      <c r="W261" s="262">
        <f>T261</f>
        <v>6.6E-3</v>
      </c>
      <c r="X261" s="70">
        <f>X30*X213*W261</f>
        <v>3400724.162351558</v>
      </c>
      <c r="Y261" s="54"/>
      <c r="Z261" s="262">
        <f>W261</f>
        <v>6.6E-3</v>
      </c>
      <c r="AA261" s="70">
        <f>AA30*AA213*Z261</f>
        <v>3407069.3893991285</v>
      </c>
      <c r="AB261" s="54"/>
      <c r="AC261" s="263">
        <v>7.1999999999999998E-3</v>
      </c>
      <c r="AD261" s="70">
        <f>AD30*AD213*AC261</f>
        <v>3727623.2942786366</v>
      </c>
      <c r="AE261" s="54"/>
      <c r="AF261" s="263">
        <f>AC261</f>
        <v>7.1999999999999998E-3</v>
      </c>
      <c r="AG261" s="70">
        <f>AG30*AG213*AF261</f>
        <v>3741358.8963571358</v>
      </c>
      <c r="AH261" s="178"/>
      <c r="AI261" s="264">
        <f t="shared" ref="AI261:AJ269" si="327">AC261-AU261</f>
        <v>-4.0000000000000018E-4</v>
      </c>
      <c r="AJ261" s="70">
        <f t="shared" si="327"/>
        <v>-51433.902587058488</v>
      </c>
      <c r="AK261" s="54"/>
      <c r="AL261" s="262">
        <f t="shared" ref="AL261:AM269" si="328">AF261-AX261</f>
        <v>-5.5200000000000041E-4</v>
      </c>
      <c r="AM261" s="70">
        <f t="shared" si="328"/>
        <v>-101526.30293250782</v>
      </c>
      <c r="AN261" s="54"/>
      <c r="AO261" s="264">
        <f t="shared" ref="AO261:AP268" si="329">AC261-BA261</f>
        <v>5.9999999999999984E-4</v>
      </c>
      <c r="AP261" s="70">
        <f t="shared" si="329"/>
        <v>272468.31063625077</v>
      </c>
      <c r="AQ261" s="54"/>
      <c r="AR261" s="262">
        <f t="shared" ref="AR261:AS268" si="330">AF261-BD261</f>
        <v>5.9999999999999984E-4</v>
      </c>
      <c r="AS261" s="70">
        <f t="shared" si="330"/>
        <v>233792.25440819189</v>
      </c>
      <c r="AT261" s="178"/>
      <c r="AU261" s="265">
        <v>7.6E-3</v>
      </c>
      <c r="AV261" s="70">
        <v>3779057.1968656951</v>
      </c>
      <c r="AW261" s="54"/>
      <c r="AX261" s="263">
        <v>7.7520000000000002E-3</v>
      </c>
      <c r="AY261" s="70">
        <v>3842885.1992896437</v>
      </c>
      <c r="AZ261" s="178"/>
      <c r="BA261" s="264">
        <v>6.6E-3</v>
      </c>
      <c r="BB261" s="70">
        <v>3455154.9836423858</v>
      </c>
      <c r="BC261" s="54"/>
      <c r="BD261" s="262">
        <v>6.6E-3</v>
      </c>
      <c r="BE261" s="70">
        <v>3507566.641948944</v>
      </c>
      <c r="BF261" s="178"/>
      <c r="BG261" s="178"/>
      <c r="BH261" s="178"/>
      <c r="BI261" s="178"/>
      <c r="BJ261" s="178"/>
    </row>
    <row r="262" spans="2:62" x14ac:dyDescent="0.4">
      <c r="C262" s="56" t="s">
        <v>18</v>
      </c>
      <c r="D262" s="246" t="s">
        <v>8</v>
      </c>
      <c r="E262" s="262">
        <v>6.0000000000000001E-3</v>
      </c>
      <c r="F262" s="70">
        <f>F31*F214*E262</f>
        <v>828080.79571692541</v>
      </c>
      <c r="G262" s="54"/>
      <c r="H262" s="262">
        <v>6.0000000000000001E-3</v>
      </c>
      <c r="I262" s="53"/>
      <c r="J262" s="54"/>
      <c r="K262" s="262">
        <v>6.6E-3</v>
      </c>
      <c r="L262" s="53"/>
      <c r="M262" s="54"/>
      <c r="N262" s="262">
        <v>6.0000000000000001E-3</v>
      </c>
      <c r="O262" s="70">
        <f>O31*O214*N262</f>
        <v>847251.1813412942</v>
      </c>
      <c r="P262" s="54"/>
      <c r="Q262" s="262">
        <f t="shared" ref="Q262:Q268" si="331">N262</f>
        <v>6.0000000000000001E-3</v>
      </c>
      <c r="R262" s="70">
        <f>R31*R214*Q262</f>
        <v>835351.8083272283</v>
      </c>
      <c r="S262" s="54"/>
      <c r="T262" s="262">
        <f t="shared" ref="T262:T268" si="332">Q262</f>
        <v>6.0000000000000001E-3</v>
      </c>
      <c r="U262" s="70">
        <f>U31*U214*T262</f>
        <v>843478.73671520595</v>
      </c>
      <c r="V262" s="54"/>
      <c r="W262" s="262">
        <f t="shared" ref="W262:W268" si="333">T262</f>
        <v>6.0000000000000001E-3</v>
      </c>
      <c r="X262" s="70">
        <f>X31*X214*W262</f>
        <v>848450.51965095254</v>
      </c>
      <c r="Y262" s="54"/>
      <c r="Z262" s="262">
        <f t="shared" ref="Z262:Z268" si="334">W262</f>
        <v>6.0000000000000001E-3</v>
      </c>
      <c r="AA262" s="70">
        <f>AA31*AA214*Z262</f>
        <v>849767.03946035565</v>
      </c>
      <c r="AB262" s="54"/>
      <c r="AC262" s="263">
        <v>6.7000000000000002E-3</v>
      </c>
      <c r="AD262" s="70">
        <f>AD31*AD214*AC262</f>
        <v>951611.13058027031</v>
      </c>
      <c r="AE262" s="54"/>
      <c r="AF262" s="263">
        <f t="shared" ref="AF262:AF268" si="335">AC262</f>
        <v>6.7000000000000002E-3</v>
      </c>
      <c r="AG262" s="70">
        <f>AG31*AG214*AF262</f>
        <v>955256.58007326524</v>
      </c>
      <c r="AH262" s="178"/>
      <c r="AI262" s="264">
        <f t="shared" si="327"/>
        <v>-2.9999999999999992E-4</v>
      </c>
      <c r="AJ262" s="70">
        <f t="shared" si="327"/>
        <v>11950.127807930927</v>
      </c>
      <c r="AK262" s="54"/>
      <c r="AL262" s="262">
        <f t="shared" si="328"/>
        <v>-4.4000000000000029E-4</v>
      </c>
      <c r="AM262" s="70">
        <f t="shared" si="328"/>
        <v>1017.9111818050733</v>
      </c>
      <c r="AN262" s="54"/>
      <c r="AO262" s="264">
        <f t="shared" si="329"/>
        <v>7.000000000000001E-4</v>
      </c>
      <c r="AP262" s="70">
        <f t="shared" si="329"/>
        <v>89966.318446177058</v>
      </c>
      <c r="AQ262" s="54"/>
      <c r="AR262" s="262">
        <f t="shared" si="330"/>
        <v>7.000000000000001E-4</v>
      </c>
      <c r="AS262" s="70">
        <f t="shared" si="330"/>
        <v>80470.208012525574</v>
      </c>
      <c r="AT262" s="178"/>
      <c r="AU262" s="265">
        <v>7.0000000000000001E-3</v>
      </c>
      <c r="AV262" s="70">
        <v>939661.00277233939</v>
      </c>
      <c r="AW262" s="54"/>
      <c r="AX262" s="263">
        <v>7.1400000000000005E-3</v>
      </c>
      <c r="AY262" s="70">
        <v>954238.66889146017</v>
      </c>
      <c r="AZ262" s="178"/>
      <c r="BA262" s="264">
        <v>6.0000000000000001E-3</v>
      </c>
      <c r="BB262" s="70">
        <v>861644.81213409326</v>
      </c>
      <c r="BC262" s="54"/>
      <c r="BD262" s="262">
        <v>6.0000000000000001E-3</v>
      </c>
      <c r="BE262" s="70">
        <v>874786.37206073967</v>
      </c>
      <c r="BF262" s="178"/>
      <c r="BG262" s="178"/>
      <c r="BH262" s="178"/>
      <c r="BI262" s="178"/>
      <c r="BJ262" s="178"/>
    </row>
    <row r="263" spans="2:62" x14ac:dyDescent="0.4">
      <c r="C263" s="56" t="s">
        <v>19</v>
      </c>
      <c r="D263" s="246" t="s">
        <v>27</v>
      </c>
      <c r="E263" s="262">
        <v>2.4928999999999997</v>
      </c>
      <c r="F263" s="70">
        <f>F43*E263</f>
        <v>2286887.5818419284</v>
      </c>
      <c r="G263" s="54"/>
      <c r="H263" s="262">
        <v>2.1850999999999998</v>
      </c>
      <c r="I263" s="53"/>
      <c r="J263" s="54"/>
      <c r="K263" s="262">
        <v>2.3925000000000001</v>
      </c>
      <c r="L263" s="53"/>
      <c r="M263" s="54"/>
      <c r="N263" s="262">
        <v>2.4928999999999997</v>
      </c>
      <c r="O263" s="70">
        <f>O43*N263</f>
        <v>2206634.7048341879</v>
      </c>
      <c r="P263" s="54"/>
      <c r="Q263" s="262">
        <f t="shared" si="331"/>
        <v>2.4928999999999997</v>
      </c>
      <c r="R263" s="70">
        <f>R43*Q263</f>
        <v>2073566.7980999998</v>
      </c>
      <c r="S263" s="54"/>
      <c r="T263" s="262">
        <f t="shared" si="332"/>
        <v>2.4928999999999997</v>
      </c>
      <c r="U263" s="70">
        <f>U43*T263</f>
        <v>2123836.2535498934</v>
      </c>
      <c r="V263" s="54"/>
      <c r="W263" s="262">
        <f t="shared" si="333"/>
        <v>2.4928999999999997</v>
      </c>
      <c r="X263" s="70">
        <f>X43*W263</f>
        <v>2144887.3651395338</v>
      </c>
      <c r="Y263" s="54"/>
      <c r="Z263" s="262">
        <f t="shared" si="334"/>
        <v>2.4928999999999997</v>
      </c>
      <c r="AA263" s="70">
        <f>AA43*Z263</f>
        <v>2157715.5845682775</v>
      </c>
      <c r="AB263" s="54"/>
      <c r="AC263" s="263">
        <v>2.4338000000000002</v>
      </c>
      <c r="AD263" s="70">
        <f>AD43*AC263</f>
        <v>2121187.5919811022</v>
      </c>
      <c r="AE263" s="54"/>
      <c r="AF263" s="263">
        <f t="shared" si="335"/>
        <v>2.4338000000000002</v>
      </c>
      <c r="AG263" s="70">
        <f>AG43*AF263</f>
        <v>2138427.8091086666</v>
      </c>
      <c r="AH263" s="178"/>
      <c r="AI263" s="264">
        <f t="shared" si="327"/>
        <v>-0.11470000000000002</v>
      </c>
      <c r="AJ263" s="70">
        <f t="shared" si="327"/>
        <v>-4437.8303764602169</v>
      </c>
      <c r="AK263" s="54"/>
      <c r="AL263" s="262">
        <f t="shared" si="328"/>
        <v>-0.16566999999999998</v>
      </c>
      <c r="AM263" s="70">
        <f t="shared" si="328"/>
        <v>-32436.996615648735</v>
      </c>
      <c r="AN263" s="54"/>
      <c r="AO263" s="264">
        <f t="shared" si="329"/>
        <v>-5.9099999999999486E-2</v>
      </c>
      <c r="AP263" s="70">
        <f t="shared" si="329"/>
        <v>-76824.090935777873</v>
      </c>
      <c r="AQ263" s="54"/>
      <c r="AR263" s="262">
        <f t="shared" si="330"/>
        <v>-5.9099999999999486E-2</v>
      </c>
      <c r="AS263" s="70">
        <f t="shared" si="330"/>
        <v>-103023.03695329279</v>
      </c>
      <c r="AT263" s="178"/>
      <c r="AU263" s="265">
        <v>2.5485000000000002</v>
      </c>
      <c r="AV263" s="70">
        <v>2125625.4223575625</v>
      </c>
      <c r="AW263" s="54"/>
      <c r="AX263" s="263">
        <v>2.5994700000000002</v>
      </c>
      <c r="AY263" s="70">
        <v>2170864.8057243153</v>
      </c>
      <c r="AZ263" s="178"/>
      <c r="BA263" s="264">
        <v>2.4928999999999997</v>
      </c>
      <c r="BB263" s="70">
        <v>2198011.6829168801</v>
      </c>
      <c r="BC263" s="54"/>
      <c r="BD263" s="262">
        <v>2.4928999999999997</v>
      </c>
      <c r="BE263" s="70">
        <v>2241450.8460619594</v>
      </c>
      <c r="BF263" s="178"/>
      <c r="BG263" s="178"/>
      <c r="BH263" s="178"/>
      <c r="BI263" s="178"/>
      <c r="BJ263" s="178"/>
    </row>
    <row r="264" spans="2:62" x14ac:dyDescent="0.4">
      <c r="C264" s="56" t="s">
        <v>20</v>
      </c>
      <c r="D264" s="246" t="s">
        <v>27</v>
      </c>
      <c r="E264" s="262">
        <v>2.8007</v>
      </c>
      <c r="F264" s="70">
        <f>F44*E264</f>
        <v>468161.28501482488</v>
      </c>
      <c r="G264" s="54"/>
      <c r="H264" s="262">
        <v>2.8007</v>
      </c>
      <c r="I264" s="53"/>
      <c r="J264" s="54"/>
      <c r="K264" s="262">
        <v>3.0665</v>
      </c>
      <c r="L264" s="53"/>
      <c r="M264" s="54"/>
      <c r="N264" s="262">
        <v>2.8007</v>
      </c>
      <c r="O264" s="70">
        <f>O44*N264</f>
        <v>445936.83993804629</v>
      </c>
      <c r="P264" s="54"/>
      <c r="Q264" s="262">
        <f t="shared" si="331"/>
        <v>2.8007</v>
      </c>
      <c r="R264" s="70">
        <f>R44*Q264</f>
        <v>522929.89980000001</v>
      </c>
      <c r="S264" s="54"/>
      <c r="T264" s="262">
        <f t="shared" si="332"/>
        <v>2.8007</v>
      </c>
      <c r="U264" s="70">
        <f>U44*T264</f>
        <v>547069.721936894</v>
      </c>
      <c r="V264" s="54"/>
      <c r="W264" s="262">
        <f t="shared" si="333"/>
        <v>2.8007</v>
      </c>
      <c r="X264" s="70">
        <f>X44*W264</f>
        <v>545211.4106896075</v>
      </c>
      <c r="Y264" s="54"/>
      <c r="Z264" s="262">
        <f t="shared" si="334"/>
        <v>2.8007</v>
      </c>
      <c r="AA264" s="70">
        <f>AA44*Z264</f>
        <v>541335.44690862147</v>
      </c>
      <c r="AB264" s="54"/>
      <c r="AC264" s="263">
        <v>3.1194999999999999</v>
      </c>
      <c r="AD264" s="70">
        <f>AD44*AC264</f>
        <v>596998.71212359052</v>
      </c>
      <c r="AE264" s="54"/>
      <c r="AF264" s="263">
        <f t="shared" si="335"/>
        <v>3.1194999999999999</v>
      </c>
      <c r="AG264" s="70">
        <f>AG44*AF264</f>
        <v>591305.59431263164</v>
      </c>
      <c r="AH264" s="178"/>
      <c r="AI264" s="264">
        <f t="shared" si="327"/>
        <v>-0.14700000000000024</v>
      </c>
      <c r="AJ264" s="70">
        <f t="shared" si="327"/>
        <v>49160.919799270923</v>
      </c>
      <c r="AK264" s="54"/>
      <c r="AL264" s="262">
        <f t="shared" si="328"/>
        <v>-0.21233000000000013</v>
      </c>
      <c r="AM264" s="70">
        <f t="shared" si="328"/>
        <v>28000.280589274364</v>
      </c>
      <c r="AN264" s="54"/>
      <c r="AO264" s="264">
        <f t="shared" si="329"/>
        <v>0.31879999999999997</v>
      </c>
      <c r="AP264" s="70">
        <f t="shared" si="329"/>
        <v>14910.735905847396</v>
      </c>
      <c r="AQ264" s="54"/>
      <c r="AR264" s="262">
        <f t="shared" si="330"/>
        <v>0.31879999999999997</v>
      </c>
      <c r="AS264" s="70">
        <f t="shared" si="330"/>
        <v>14223.875419614138</v>
      </c>
      <c r="AT264" s="178"/>
      <c r="AU264" s="265">
        <v>3.2665000000000002</v>
      </c>
      <c r="AV264" s="70">
        <v>547837.7923243196</v>
      </c>
      <c r="AW264" s="54"/>
      <c r="AX264" s="263">
        <v>3.3318300000000001</v>
      </c>
      <c r="AY264" s="70">
        <v>563305.31372335728</v>
      </c>
      <c r="AZ264" s="178"/>
      <c r="BA264" s="264">
        <v>2.8007</v>
      </c>
      <c r="BB264" s="70">
        <v>582087.97621774313</v>
      </c>
      <c r="BC264" s="54"/>
      <c r="BD264" s="262">
        <v>2.8007</v>
      </c>
      <c r="BE264" s="70">
        <v>577081.7188930175</v>
      </c>
      <c r="BF264" s="178"/>
      <c r="BG264" s="178"/>
      <c r="BH264" s="178"/>
      <c r="BI264" s="178"/>
      <c r="BJ264" s="178"/>
    </row>
    <row r="265" spans="2:62" x14ac:dyDescent="0.4">
      <c r="C265" s="56" t="s">
        <v>21</v>
      </c>
      <c r="D265" s="246" t="s">
        <v>27</v>
      </c>
      <c r="E265" s="262">
        <v>2.9841000000000002</v>
      </c>
      <c r="F265" s="70">
        <f>F45*E265</f>
        <v>210632.69850000003</v>
      </c>
      <c r="G265" s="54"/>
      <c r="H265" s="262">
        <v>2.9841000000000002</v>
      </c>
      <c r="I265" s="53"/>
      <c r="J265" s="54"/>
      <c r="K265" s="262">
        <v>3.2673000000000001</v>
      </c>
      <c r="L265" s="53"/>
      <c r="M265" s="54"/>
      <c r="N265" s="262">
        <v>2.9841000000000002</v>
      </c>
      <c r="O265" s="70">
        <f>O45*N265</f>
        <v>295819.83687751752</v>
      </c>
      <c r="P265" s="54"/>
      <c r="Q265" s="262">
        <f t="shared" si="331"/>
        <v>2.9841000000000002</v>
      </c>
      <c r="R265" s="70">
        <f>R45*Q265</f>
        <v>278127.0723</v>
      </c>
      <c r="S265" s="54"/>
      <c r="T265" s="262">
        <f t="shared" si="332"/>
        <v>2.9841000000000002</v>
      </c>
      <c r="U265" s="70">
        <f>U45*T265</f>
        <v>287817.28091539477</v>
      </c>
      <c r="V265" s="54"/>
      <c r="W265" s="262">
        <f t="shared" si="333"/>
        <v>2.9841000000000002</v>
      </c>
      <c r="X265" s="70">
        <f>X45*W265</f>
        <v>287959.1683065166</v>
      </c>
      <c r="Y265" s="54"/>
      <c r="Z265" s="262">
        <f t="shared" si="334"/>
        <v>2.9841000000000002</v>
      </c>
      <c r="AA265" s="70">
        <f>AA45*Z265</f>
        <v>288579.41213778901</v>
      </c>
      <c r="AB265" s="54"/>
      <c r="AC265" s="263">
        <v>3.3239000000000001</v>
      </c>
      <c r="AD265" s="70">
        <f>AD45*AC265</f>
        <v>321188.14571793255</v>
      </c>
      <c r="AE265" s="54"/>
      <c r="AF265" s="263">
        <f t="shared" si="335"/>
        <v>3.3239000000000001</v>
      </c>
      <c r="AG265" s="70">
        <f>AG45*AF265</f>
        <v>319783.25447069138</v>
      </c>
      <c r="AH265" s="178"/>
      <c r="AI265" s="264">
        <f t="shared" si="327"/>
        <v>-0.15663999999999989</v>
      </c>
      <c r="AJ265" s="70">
        <f t="shared" si="327"/>
        <v>6239.7470617552171</v>
      </c>
      <c r="AK265" s="54"/>
      <c r="AL265" s="262">
        <f t="shared" si="328"/>
        <v>-0.22625079999999986</v>
      </c>
      <c r="AM265" s="70">
        <f t="shared" si="328"/>
        <v>6056.0639944673167</v>
      </c>
      <c r="AN265" s="54"/>
      <c r="AO265" s="264">
        <f t="shared" si="329"/>
        <v>0.33979999999999988</v>
      </c>
      <c r="AP265" s="70">
        <f t="shared" si="329"/>
        <v>32834.842177849321</v>
      </c>
      <c r="AQ265" s="54"/>
      <c r="AR265" s="262">
        <f t="shared" si="330"/>
        <v>0.33979999999999988</v>
      </c>
      <c r="AS265" s="70">
        <f t="shared" si="330"/>
        <v>32691.221116501954</v>
      </c>
      <c r="AT265" s="178"/>
      <c r="AU265" s="265">
        <v>3.48054</v>
      </c>
      <c r="AV265" s="70">
        <v>314948.39865617733</v>
      </c>
      <c r="AW265" s="54"/>
      <c r="AX265" s="263">
        <v>3.5501507999999999</v>
      </c>
      <c r="AY265" s="70">
        <v>313727.19047622406</v>
      </c>
      <c r="AZ265" s="178"/>
      <c r="BA265" s="264">
        <v>2.9841000000000002</v>
      </c>
      <c r="BB265" s="70">
        <v>288353.30354008323</v>
      </c>
      <c r="BC265" s="54"/>
      <c r="BD265" s="262">
        <v>2.9841000000000002</v>
      </c>
      <c r="BE265" s="70">
        <v>287092.03335418942</v>
      </c>
      <c r="BF265" s="178"/>
      <c r="BG265" s="178"/>
      <c r="BH265" s="178"/>
      <c r="BI265" s="178"/>
      <c r="BJ265" s="178"/>
    </row>
    <row r="266" spans="2:62" x14ac:dyDescent="0.4">
      <c r="C266" s="56" t="s">
        <v>22</v>
      </c>
      <c r="D266" s="246" t="s">
        <v>27</v>
      </c>
      <c r="E266" s="262">
        <v>1.4816</v>
      </c>
      <c r="F266" s="70">
        <f>F46*E266</f>
        <v>43808.654964993068</v>
      </c>
      <c r="G266" s="54"/>
      <c r="H266" s="262">
        <v>1.4816</v>
      </c>
      <c r="I266" s="53"/>
      <c r="J266" s="54"/>
      <c r="K266" s="262">
        <v>1.6222000000000001</v>
      </c>
      <c r="L266" s="53"/>
      <c r="M266" s="54"/>
      <c r="N266" s="262">
        <v>1.4816</v>
      </c>
      <c r="O266" s="70">
        <f>O46*N266</f>
        <v>36583.950445826886</v>
      </c>
      <c r="P266" s="54"/>
      <c r="Q266" s="262">
        <f t="shared" si="331"/>
        <v>1.4816</v>
      </c>
      <c r="R266" s="70">
        <f>R46*Q266</f>
        <v>37958.592000000004</v>
      </c>
      <c r="S266" s="54"/>
      <c r="T266" s="262">
        <f t="shared" si="332"/>
        <v>1.4816</v>
      </c>
      <c r="U266" s="70">
        <f>U46*T266</f>
        <v>35427.535774851174</v>
      </c>
      <c r="V266" s="54"/>
      <c r="W266" s="262">
        <f t="shared" si="333"/>
        <v>1.4816</v>
      </c>
      <c r="X266" s="70">
        <f>X46*W266</f>
        <v>21630.3473491404</v>
      </c>
      <c r="Y266" s="54"/>
      <c r="Z266" s="262">
        <f t="shared" si="334"/>
        <v>1.4816</v>
      </c>
      <c r="AA266" s="70">
        <f>AA46*Z266</f>
        <v>20043.705913184403</v>
      </c>
      <c r="AB266" s="54"/>
      <c r="AC266" s="263">
        <v>1.6503000000000001</v>
      </c>
      <c r="AD266" s="70">
        <f>AD46*AC266</f>
        <v>22749.863917969207</v>
      </c>
      <c r="AE266" s="54"/>
      <c r="AF266" s="263">
        <f t="shared" si="335"/>
        <v>1.6503000000000001</v>
      </c>
      <c r="AG266" s="70">
        <f>AG46*AF266</f>
        <v>23182.25876780062</v>
      </c>
      <c r="AH266" s="178"/>
      <c r="AI266" s="264">
        <f t="shared" si="327"/>
        <v>-7.7799999999999869E-2</v>
      </c>
      <c r="AJ266" s="70">
        <f t="shared" si="327"/>
        <v>-312.36054497804071</v>
      </c>
      <c r="AK266" s="54"/>
      <c r="AL266" s="262">
        <f t="shared" si="328"/>
        <v>-0.11236199999999985</v>
      </c>
      <c r="AM266" s="70">
        <f t="shared" si="328"/>
        <v>-1321.9825937545684</v>
      </c>
      <c r="AN266" s="54"/>
      <c r="AO266" s="264">
        <f t="shared" si="329"/>
        <v>0.16870000000000007</v>
      </c>
      <c r="AP266" s="70">
        <f t="shared" si="329"/>
        <v>2311.6245377600135</v>
      </c>
      <c r="AQ266" s="54"/>
      <c r="AR266" s="262">
        <f t="shared" si="330"/>
        <v>0.16870000000000007</v>
      </c>
      <c r="AS266" s="70">
        <f t="shared" si="330"/>
        <v>2341.720058441304</v>
      </c>
      <c r="AT266" s="178"/>
      <c r="AU266" s="265">
        <v>1.7281</v>
      </c>
      <c r="AV266" s="70">
        <v>23062.224462947248</v>
      </c>
      <c r="AW266" s="54"/>
      <c r="AX266" s="263">
        <v>1.762662</v>
      </c>
      <c r="AY266" s="70">
        <v>24504.241361555189</v>
      </c>
      <c r="AZ266" s="178"/>
      <c r="BA266" s="264">
        <v>1.4816</v>
      </c>
      <c r="BB266" s="70">
        <v>20438.239380209194</v>
      </c>
      <c r="BC266" s="54"/>
      <c r="BD266" s="262">
        <v>1.4816</v>
      </c>
      <c r="BE266" s="70">
        <v>20840.538709359316</v>
      </c>
      <c r="BF266" s="178"/>
      <c r="BG266" s="178"/>
      <c r="BH266" s="178"/>
      <c r="BI266" s="178"/>
      <c r="BJ266" s="178"/>
    </row>
    <row r="267" spans="2:62" x14ac:dyDescent="0.4">
      <c r="C267" s="56" t="s">
        <v>23</v>
      </c>
      <c r="D267" s="246" t="s">
        <v>8</v>
      </c>
      <c r="E267" s="262">
        <v>6.0000000000000001E-3</v>
      </c>
      <c r="F267" s="70">
        <f>F36*F219*E267</f>
        <v>20079.401534429853</v>
      </c>
      <c r="G267" s="54"/>
      <c r="H267" s="262">
        <v>6.0000000000000001E-3</v>
      </c>
      <c r="I267" s="53"/>
      <c r="J267" s="54"/>
      <c r="K267" s="262">
        <v>6.6E-3</v>
      </c>
      <c r="L267" s="53"/>
      <c r="M267" s="54"/>
      <c r="N267" s="262">
        <v>6.0000000000000001E-3</v>
      </c>
      <c r="O267" s="70">
        <f>O36*O219*N267</f>
        <v>17113.68377701976</v>
      </c>
      <c r="P267" s="54"/>
      <c r="Q267" s="262">
        <f t="shared" si="331"/>
        <v>6.0000000000000001E-3</v>
      </c>
      <c r="R267" s="70">
        <f>R36*R219*Q267</f>
        <v>16994.402719296453</v>
      </c>
      <c r="S267" s="54"/>
      <c r="T267" s="262">
        <f t="shared" si="332"/>
        <v>6.0000000000000001E-3</v>
      </c>
      <c r="U267" s="70">
        <f>U36*U219*T267</f>
        <v>16902.618165323533</v>
      </c>
      <c r="V267" s="54"/>
      <c r="W267" s="262">
        <f t="shared" si="333"/>
        <v>6.0000000000000001E-3</v>
      </c>
      <c r="X267" s="70">
        <f>X36*X219*W267</f>
        <v>16780.91439622832</v>
      </c>
      <c r="Y267" s="54"/>
      <c r="Z267" s="262">
        <f t="shared" si="334"/>
        <v>6.0000000000000001E-3</v>
      </c>
      <c r="AA267" s="70">
        <f>AA36*AA219*Z267</f>
        <v>16687.7449075238</v>
      </c>
      <c r="AB267" s="54"/>
      <c r="AC267" s="263">
        <v>6.7000000000000002E-3</v>
      </c>
      <c r="AD267" s="70">
        <f>AD36*AD219*AC267</f>
        <v>18476.869365235492</v>
      </c>
      <c r="AE267" s="54"/>
      <c r="AF267" s="263">
        <f t="shared" si="335"/>
        <v>6.7000000000000002E-3</v>
      </c>
      <c r="AG267" s="70">
        <f>AG36*AG219*AF267</f>
        <v>18254.594696976743</v>
      </c>
      <c r="AH267" s="178"/>
      <c r="AI267" s="264">
        <f t="shared" si="327"/>
        <v>-2.9999999999999992E-4</v>
      </c>
      <c r="AJ267" s="70">
        <f t="shared" si="327"/>
        <v>-468.3018651096645</v>
      </c>
      <c r="AK267" s="54"/>
      <c r="AL267" s="262">
        <f t="shared" si="328"/>
        <v>-4.4000000000000029E-4</v>
      </c>
      <c r="AM267" s="70">
        <f t="shared" si="328"/>
        <v>-1426.5953464256563</v>
      </c>
      <c r="AN267" s="54"/>
      <c r="AO267" s="264">
        <f t="shared" si="329"/>
        <v>7.000000000000001E-4</v>
      </c>
      <c r="AP267" s="70">
        <f t="shared" si="329"/>
        <v>1930.4191874126627</v>
      </c>
      <c r="AQ267" s="54"/>
      <c r="AR267" s="262">
        <f t="shared" si="330"/>
        <v>7.000000000000001E-4</v>
      </c>
      <c r="AS267" s="70">
        <f t="shared" si="330"/>
        <v>1907.1964608781673</v>
      </c>
      <c r="AT267" s="178"/>
      <c r="AU267" s="265">
        <v>7.0000000000000001E-3</v>
      </c>
      <c r="AV267" s="70">
        <v>18945.171230345157</v>
      </c>
      <c r="AW267" s="54"/>
      <c r="AX267" s="263">
        <v>7.1400000000000005E-3</v>
      </c>
      <c r="AY267" s="70">
        <v>19681.190043402399</v>
      </c>
      <c r="AZ267" s="178"/>
      <c r="BA267" s="264">
        <v>6.0000000000000001E-3</v>
      </c>
      <c r="BB267" s="70">
        <v>16546.45017782283</v>
      </c>
      <c r="BC267" s="54"/>
      <c r="BD267" s="262">
        <v>6.0000000000000001E-3</v>
      </c>
      <c r="BE267" s="70">
        <v>16347.398236098576</v>
      </c>
      <c r="BF267" s="178"/>
      <c r="BG267" s="178"/>
      <c r="BH267" s="178"/>
      <c r="BI267" s="178"/>
      <c r="BJ267" s="178"/>
    </row>
    <row r="268" spans="2:62" x14ac:dyDescent="0.4">
      <c r="C268" s="56" t="s">
        <v>24</v>
      </c>
      <c r="D268" s="246" t="s">
        <v>27</v>
      </c>
      <c r="E268" s="262">
        <v>1.5072000000000001</v>
      </c>
      <c r="F268" s="70">
        <f>F48*E268</f>
        <v>173.47349734000508</v>
      </c>
      <c r="G268" s="54"/>
      <c r="H268" s="262">
        <v>1.5072000000000001</v>
      </c>
      <c r="I268" s="53"/>
      <c r="J268" s="54"/>
      <c r="K268" s="262">
        <v>1.6501999999999999</v>
      </c>
      <c r="L268" s="53"/>
      <c r="M268" s="54"/>
      <c r="N268" s="262">
        <v>1.5072000000000001</v>
      </c>
      <c r="O268" s="70">
        <f>O48*N268</f>
        <v>153.58716541570828</v>
      </c>
      <c r="P268" s="54"/>
      <c r="Q268" s="262">
        <f t="shared" si="331"/>
        <v>1.5072000000000001</v>
      </c>
      <c r="R268" s="70">
        <f>R48*Q268</f>
        <v>0</v>
      </c>
      <c r="S268" s="54"/>
      <c r="T268" s="262">
        <f t="shared" si="332"/>
        <v>1.5072000000000001</v>
      </c>
      <c r="U268" s="70">
        <f>U48*T268</f>
        <v>150.95948837450206</v>
      </c>
      <c r="V268" s="54"/>
      <c r="W268" s="262">
        <f t="shared" si="333"/>
        <v>1.5072000000000001</v>
      </c>
      <c r="X268" s="70">
        <f>X48*W268</f>
        <v>144.85171735660856</v>
      </c>
      <c r="Y268" s="54"/>
      <c r="Z268" s="262">
        <f t="shared" si="334"/>
        <v>1.5072000000000001</v>
      </c>
      <c r="AA268" s="70">
        <f>AA48*Z268</f>
        <v>139.22180853721699</v>
      </c>
      <c r="AB268" s="54"/>
      <c r="AC268" s="263">
        <v>1.6787000000000001</v>
      </c>
      <c r="AD268" s="70">
        <f>AD48*AC268</f>
        <v>148.599809166532</v>
      </c>
      <c r="AE268" s="54"/>
      <c r="AF268" s="263">
        <f t="shared" si="335"/>
        <v>1.6787000000000001</v>
      </c>
      <c r="AG268" s="70">
        <f>AG48*AF268</f>
        <v>141.89387541153033</v>
      </c>
      <c r="AH268" s="178"/>
      <c r="AI268" s="264">
        <f t="shared" si="327"/>
        <v>-7.9199999999999937E-2</v>
      </c>
      <c r="AJ268" s="70">
        <f t="shared" si="327"/>
        <v>-21.508985583678339</v>
      </c>
      <c r="AK268" s="54"/>
      <c r="AL268" s="262">
        <f t="shared" si="328"/>
        <v>-0.11435799999999996</v>
      </c>
      <c r="AM268" s="70">
        <f t="shared" si="328"/>
        <v>-24.92606756927421</v>
      </c>
      <c r="AN268" s="54"/>
      <c r="AO268" s="264">
        <f t="shared" si="329"/>
        <v>0.17149999999999999</v>
      </c>
      <c r="AP268" s="70">
        <f t="shared" si="329"/>
        <v>15.181311295681326</v>
      </c>
      <c r="AQ268" s="54"/>
      <c r="AR268" s="262">
        <f t="shared" si="330"/>
        <v>0.17149999999999999</v>
      </c>
      <c r="AS268" s="70">
        <f t="shared" si="330"/>
        <v>14.496217092439068</v>
      </c>
      <c r="AT268" s="178"/>
      <c r="AU268" s="265">
        <v>1.7579</v>
      </c>
      <c r="AV268" s="70">
        <v>170.10879475021034</v>
      </c>
      <c r="AW268" s="54"/>
      <c r="AX268" s="263">
        <v>1.793058</v>
      </c>
      <c r="AY268" s="70">
        <v>166.81994298080454</v>
      </c>
      <c r="AZ268" s="178"/>
      <c r="BA268" s="264">
        <v>1.5072000000000001</v>
      </c>
      <c r="BB268" s="70">
        <v>133.41849787085067</v>
      </c>
      <c r="BC268" s="54"/>
      <c r="BD268" s="262">
        <v>1.5072000000000001</v>
      </c>
      <c r="BE268" s="70">
        <v>127.39765831909126</v>
      </c>
      <c r="BF268" s="178"/>
      <c r="BG268" s="178"/>
      <c r="BH268" s="178"/>
      <c r="BI268" s="178"/>
      <c r="BJ268" s="178"/>
    </row>
    <row r="269" spans="2:62" ht="14.25" thickBot="1" x14ac:dyDescent="0.45">
      <c r="C269" s="64" t="s">
        <v>25</v>
      </c>
      <c r="D269" s="65"/>
      <c r="E269" s="251"/>
      <c r="F269" s="208">
        <f>SUM(F261:F268)</f>
        <v>7275370.131061445</v>
      </c>
      <c r="G269" s="54"/>
      <c r="H269" s="251"/>
      <c r="I269" s="53"/>
      <c r="J269" s="54"/>
      <c r="K269" s="252">
        <f>IFERROR(L269/I269-1,0)</f>
        <v>0</v>
      </c>
      <c r="L269" s="53"/>
      <c r="M269" s="54"/>
      <c r="N269" s="253"/>
      <c r="O269" s="208">
        <f>SUM(O261:O268)</f>
        <v>7178759.1932169087</v>
      </c>
      <c r="P269" s="54"/>
      <c r="Q269" s="252">
        <f>IFERROR(R269/L269-1,0)</f>
        <v>0</v>
      </c>
      <c r="R269" s="208">
        <f>SUM(R261:R268)</f>
        <v>7094829.2939361222</v>
      </c>
      <c r="S269" s="54"/>
      <c r="T269" s="251"/>
      <c r="U269" s="208">
        <f>SUM(U261:U268)</f>
        <v>7234162.4800462723</v>
      </c>
      <c r="V269" s="54"/>
      <c r="W269" s="251"/>
      <c r="X269" s="208">
        <f>SUM(X261:X268)</f>
        <v>7265788.739600894</v>
      </c>
      <c r="Y269" s="54"/>
      <c r="Z269" s="251"/>
      <c r="AA269" s="208">
        <f>SUM(AA261:AA268)</f>
        <v>7281337.5451034168</v>
      </c>
      <c r="AB269" s="54"/>
      <c r="AC269" s="251"/>
      <c r="AD269" s="208">
        <f>SUM(AD261:AD268)</f>
        <v>7759984.2077739043</v>
      </c>
      <c r="AE269" s="54"/>
      <c r="AF269" s="259">
        <f>AF$236</f>
        <v>0</v>
      </c>
      <c r="AG269" s="208">
        <f>SUM(AG261:AG268)</f>
        <v>7787710.8816625802</v>
      </c>
      <c r="AH269" s="178"/>
      <c r="AI269" s="132"/>
      <c r="AJ269" s="208">
        <f t="shared" si="327"/>
        <v>10676.890309768729</v>
      </c>
      <c r="AK269" s="54"/>
      <c r="AL269" s="251"/>
      <c r="AM269" s="208">
        <f t="shared" si="328"/>
        <v>-101662.54779035971</v>
      </c>
      <c r="AN269" s="54"/>
      <c r="AO269" s="132"/>
      <c r="AP269" s="208">
        <f>AD269-BB269</f>
        <v>337613.34126681648</v>
      </c>
      <c r="AQ269" s="54"/>
      <c r="AR269" s="251"/>
      <c r="AS269" s="208">
        <f>AG269-BE269</f>
        <v>262417.93473995384</v>
      </c>
      <c r="AT269" s="178"/>
      <c r="AU269" s="132"/>
      <c r="AV269" s="208">
        <v>7749307.3174641356</v>
      </c>
      <c r="AW269" s="54"/>
      <c r="AX269" s="259">
        <v>0.02</v>
      </c>
      <c r="AY269" s="208">
        <v>7889373.4294529399</v>
      </c>
      <c r="AZ269" s="178"/>
      <c r="BA269" s="132"/>
      <c r="BB269" s="208">
        <v>7422370.8665070878</v>
      </c>
      <c r="BC269" s="54"/>
      <c r="BD269" s="251"/>
      <c r="BE269" s="208">
        <v>7525292.9469226263</v>
      </c>
      <c r="BF269" s="178"/>
      <c r="BG269" s="178"/>
      <c r="BH269" s="178"/>
      <c r="BI269" s="178"/>
      <c r="BJ269" s="178"/>
    </row>
    <row r="270" spans="2:62" ht="14.25" thickTop="1" x14ac:dyDescent="0.4">
      <c r="C270" s="217"/>
      <c r="D270" s="218"/>
      <c r="E270" s="251"/>
      <c r="F270" s="53"/>
      <c r="G270" s="54"/>
      <c r="H270" s="251"/>
      <c r="I270" s="53"/>
      <c r="J270" s="54"/>
      <c r="K270" s="256" t="s">
        <v>93</v>
      </c>
      <c r="L270" s="53"/>
      <c r="M270" s="54"/>
      <c r="N270" s="143"/>
      <c r="O270" s="53"/>
      <c r="P270" s="54"/>
      <c r="Q270" s="256" t="s">
        <v>93</v>
      </c>
      <c r="R270" s="53"/>
      <c r="S270" s="54"/>
      <c r="T270" s="251"/>
      <c r="U270" s="53"/>
      <c r="V270" s="54"/>
      <c r="W270" s="251"/>
      <c r="X270" s="53"/>
      <c r="Y270" s="54"/>
      <c r="Z270" s="251"/>
      <c r="AA270" s="53"/>
      <c r="AB270" s="54"/>
      <c r="AC270" s="251"/>
      <c r="AD270" s="53"/>
      <c r="AE270" s="54"/>
      <c r="AF270" s="167"/>
      <c r="AG270" s="53"/>
      <c r="AH270" s="178"/>
      <c r="AI270" s="132"/>
      <c r="AJ270" s="53"/>
      <c r="AK270" s="54"/>
      <c r="AL270" s="251"/>
      <c r="AM270" s="53"/>
      <c r="AN270" s="54"/>
      <c r="AO270" s="132"/>
      <c r="AP270" s="53"/>
      <c r="AQ270" s="54"/>
      <c r="AR270" s="251"/>
      <c r="AS270" s="53"/>
      <c r="AT270" s="178"/>
      <c r="AU270" s="132"/>
      <c r="AV270" s="53"/>
      <c r="AW270" s="54"/>
      <c r="AX270" s="167"/>
      <c r="AY270" s="53"/>
      <c r="AZ270" s="178"/>
      <c r="BA270" s="132"/>
      <c r="BB270" s="53"/>
      <c r="BC270" s="54"/>
      <c r="BD270" s="251"/>
      <c r="BE270" s="53"/>
      <c r="BF270" s="178"/>
      <c r="BG270" s="178"/>
      <c r="BH270" s="178"/>
      <c r="BI270" s="178"/>
      <c r="BJ270" s="178"/>
    </row>
    <row r="271" spans="2:62" x14ac:dyDescent="0.4">
      <c r="B271" s="2" t="s">
        <v>100</v>
      </c>
      <c r="C271" s="226"/>
      <c r="D271" s="227"/>
      <c r="E271" s="251"/>
      <c r="F271" s="53"/>
      <c r="G271" s="54"/>
      <c r="H271" s="251"/>
      <c r="I271" s="53"/>
      <c r="J271" s="54"/>
      <c r="K271" s="251"/>
      <c r="L271" s="53"/>
      <c r="M271" s="54"/>
      <c r="N271" s="251"/>
      <c r="O271" s="53"/>
      <c r="P271" s="54"/>
      <c r="Q271" s="251"/>
      <c r="R271" s="53"/>
      <c r="S271" s="54"/>
      <c r="T271" s="251"/>
      <c r="U271" s="53"/>
      <c r="V271" s="54"/>
      <c r="W271" s="251"/>
      <c r="X271" s="53"/>
      <c r="Y271" s="54"/>
      <c r="Z271" s="251"/>
      <c r="AA271" s="53"/>
      <c r="AB271" s="54"/>
      <c r="AC271" s="251"/>
      <c r="AD271" s="53"/>
      <c r="AE271" s="54"/>
      <c r="AF271" s="251"/>
      <c r="AG271" s="53"/>
      <c r="AH271" s="178"/>
      <c r="AI271" s="132"/>
      <c r="AJ271" s="53"/>
      <c r="AK271" s="54"/>
      <c r="AL271" s="251"/>
      <c r="AM271" s="53"/>
      <c r="AN271" s="54"/>
      <c r="AO271" s="132"/>
      <c r="AP271" s="53"/>
      <c r="AQ271" s="54"/>
      <c r="AR271" s="251"/>
      <c r="AS271" s="53"/>
      <c r="AT271" s="178"/>
      <c r="AU271" s="132"/>
      <c r="AV271" s="53"/>
      <c r="AW271" s="54"/>
      <c r="AX271" s="251"/>
      <c r="AY271" s="53"/>
      <c r="AZ271" s="178"/>
      <c r="BA271" s="132"/>
      <c r="BB271" s="53"/>
      <c r="BC271" s="54"/>
      <c r="BD271" s="251"/>
      <c r="BE271" s="53"/>
      <c r="BF271" s="178"/>
      <c r="BG271" s="178"/>
      <c r="BH271" s="178"/>
      <c r="BI271" s="178"/>
      <c r="BJ271" s="178"/>
    </row>
    <row r="272" spans="2:62" x14ac:dyDescent="0.4">
      <c r="C272" s="56" t="s">
        <v>17</v>
      </c>
      <c r="D272" s="246" t="s">
        <v>8</v>
      </c>
      <c r="E272" s="262">
        <v>5.5999999999999999E-3</v>
      </c>
      <c r="F272" s="70">
        <f>F30*F213*E272</f>
        <v>2899736.2036287305</v>
      </c>
      <c r="G272" s="54"/>
      <c r="H272" s="262">
        <v>5.5999999999999999E-3</v>
      </c>
      <c r="I272" s="53"/>
      <c r="J272" s="54"/>
      <c r="K272" s="262">
        <v>5.7000000000000002E-3</v>
      </c>
      <c r="L272" s="53"/>
      <c r="M272" s="54"/>
      <c r="N272" s="262">
        <v>5.5999999999999999E-3</v>
      </c>
      <c r="O272" s="70">
        <f>O30*O213*N272</f>
        <v>2824831.2559834183</v>
      </c>
      <c r="P272" s="54"/>
      <c r="Q272" s="262">
        <f>N272</f>
        <v>5.5999999999999999E-3</v>
      </c>
      <c r="R272" s="70">
        <f>R30*R213*Q272</f>
        <v>2825370.3084639013</v>
      </c>
      <c r="S272" s="54"/>
      <c r="T272" s="262">
        <f>Q272</f>
        <v>5.5999999999999999E-3</v>
      </c>
      <c r="U272" s="70">
        <f>U30*U213*T272</f>
        <v>2867437.0441821031</v>
      </c>
      <c r="V272" s="54"/>
      <c r="W272" s="262">
        <f>T272</f>
        <v>5.5999999999999999E-3</v>
      </c>
      <c r="X272" s="70">
        <f>X30*X213*W272</f>
        <v>2885462.9256316251</v>
      </c>
      <c r="Y272" s="54"/>
      <c r="Z272" s="262">
        <f>W272</f>
        <v>5.5999999999999999E-3</v>
      </c>
      <c r="AA272" s="70">
        <f>AA30*AA213*Z272</f>
        <v>2890846.7546416847</v>
      </c>
      <c r="AB272" s="54"/>
      <c r="AC272" s="263">
        <v>7.0000000000000001E-3</v>
      </c>
      <c r="AD272" s="70">
        <f>AD30*AD213*AC272</f>
        <v>3624078.2027708972</v>
      </c>
      <c r="AE272" s="54"/>
      <c r="AF272" s="263">
        <f>AC272</f>
        <v>7.0000000000000001E-3</v>
      </c>
      <c r="AG272" s="70">
        <f>AG30*AG213*AF272</f>
        <v>3637432.2603472155</v>
      </c>
      <c r="AH272" s="178"/>
      <c r="AI272" s="264">
        <f t="shared" ref="AI272:AJ280" si="336">AC272-AU272</f>
        <v>2.0000000000000052E-4</v>
      </c>
      <c r="AJ272" s="70">
        <f t="shared" si="336"/>
        <v>242816.50031211739</v>
      </c>
      <c r="AK272" s="54"/>
      <c r="AL272" s="262">
        <f t="shared" ref="AL272:AM280" si="337">AF272-AX272</f>
        <v>6.4000000000000688E-5</v>
      </c>
      <c r="AM272" s="70">
        <f t="shared" si="337"/>
        <v>199061.29256174527</v>
      </c>
      <c r="AN272" s="54"/>
      <c r="AO272" s="264">
        <f t="shared" ref="AO272:AP279" si="338">AC272-BA272</f>
        <v>1.4000000000000002E-3</v>
      </c>
      <c r="AP272" s="70">
        <f t="shared" si="338"/>
        <v>692431.54998341808</v>
      </c>
      <c r="AQ272" s="54"/>
      <c r="AR272" s="262">
        <f t="shared" ref="AR272:AS279" si="339">AF272-BD272</f>
        <v>1.4000000000000002E-3</v>
      </c>
      <c r="AS272" s="70">
        <f t="shared" si="339"/>
        <v>661315.10960265715</v>
      </c>
      <c r="AT272" s="178"/>
      <c r="AU272" s="265">
        <v>6.7999999999999996E-3</v>
      </c>
      <c r="AV272" s="70">
        <v>3381261.7024587798</v>
      </c>
      <c r="AW272" s="54"/>
      <c r="AX272" s="263">
        <v>6.9359999999999995E-3</v>
      </c>
      <c r="AY272" s="70">
        <v>3438370.9677854702</v>
      </c>
      <c r="AZ272" s="178"/>
      <c r="BA272" s="264">
        <v>5.5999999999999999E-3</v>
      </c>
      <c r="BB272" s="70">
        <v>2931646.6527874791</v>
      </c>
      <c r="BC272" s="54"/>
      <c r="BD272" s="262">
        <v>5.5999999999999999E-3</v>
      </c>
      <c r="BE272" s="70">
        <v>2976117.1507445583</v>
      </c>
      <c r="BF272" s="178"/>
      <c r="BG272" s="178"/>
      <c r="BH272" s="178"/>
      <c r="BI272" s="178"/>
      <c r="BJ272" s="178"/>
    </row>
    <row r="273" spans="2:62" x14ac:dyDescent="0.4">
      <c r="C273" s="56" t="s">
        <v>18</v>
      </c>
      <c r="D273" s="246" t="s">
        <v>8</v>
      </c>
      <c r="E273" s="262">
        <v>5.1000000000000004E-3</v>
      </c>
      <c r="F273" s="70">
        <f>F31*F214*E273</f>
        <v>703868.67635938665</v>
      </c>
      <c r="G273" s="54"/>
      <c r="H273" s="262">
        <v>5.1000000000000004E-3</v>
      </c>
      <c r="I273" s="53"/>
      <c r="J273" s="54"/>
      <c r="K273" s="262">
        <v>5.1999999999999998E-3</v>
      </c>
      <c r="L273" s="53"/>
      <c r="M273" s="54"/>
      <c r="N273" s="262">
        <v>5.1000000000000004E-3</v>
      </c>
      <c r="O273" s="70">
        <f>O31*O214*N273</f>
        <v>720163.50414010009</v>
      </c>
      <c r="P273" s="54"/>
      <c r="Q273" s="262">
        <f t="shared" ref="Q273:Q279" si="340">N273</f>
        <v>5.1000000000000004E-3</v>
      </c>
      <c r="R273" s="70">
        <f>R31*R214*Q273</f>
        <v>710049.03707814415</v>
      </c>
      <c r="S273" s="54"/>
      <c r="T273" s="262">
        <f t="shared" ref="T273:T279" si="341">Q273</f>
        <v>5.1000000000000004E-3</v>
      </c>
      <c r="U273" s="70">
        <f>U31*U214*T273</f>
        <v>716956.92620792508</v>
      </c>
      <c r="V273" s="54"/>
      <c r="W273" s="262">
        <f t="shared" ref="W273:W279" si="342">T273</f>
        <v>5.1000000000000004E-3</v>
      </c>
      <c r="X273" s="70">
        <f>X31*X214*W273</f>
        <v>721182.94170330965</v>
      </c>
      <c r="Y273" s="54"/>
      <c r="Z273" s="262">
        <f t="shared" ref="Z273:Z279" si="343">W273</f>
        <v>5.1000000000000004E-3</v>
      </c>
      <c r="AA273" s="70">
        <f>AA31*AA214*Z273</f>
        <v>722301.98354130238</v>
      </c>
      <c r="AB273" s="54"/>
      <c r="AC273" s="263">
        <v>6.4999999999999997E-3</v>
      </c>
      <c r="AD273" s="70">
        <f>AD31*AD214*AC273</f>
        <v>923204.82817488909</v>
      </c>
      <c r="AE273" s="54"/>
      <c r="AF273" s="263">
        <f t="shared" ref="AF273:AF279" si="344">AC273</f>
        <v>6.4999999999999997E-3</v>
      </c>
      <c r="AG273" s="70">
        <f>AG31*AG214*AF273</f>
        <v>926741.45828003332</v>
      </c>
      <c r="AH273" s="178"/>
      <c r="AI273" s="264">
        <f t="shared" si="336"/>
        <v>1.9999999999999966E-4</v>
      </c>
      <c r="AJ273" s="70">
        <f t="shared" si="336"/>
        <v>77509.925679783686</v>
      </c>
      <c r="AK273" s="54"/>
      <c r="AL273" s="262">
        <f t="shared" si="337"/>
        <v>7.3999999999999413E-5</v>
      </c>
      <c r="AM273" s="70">
        <f t="shared" si="337"/>
        <v>67926.656277719187</v>
      </c>
      <c r="AN273" s="54"/>
      <c r="AO273" s="264">
        <f t="shared" si="338"/>
        <v>1.3999999999999993E-3</v>
      </c>
      <c r="AP273" s="70">
        <f t="shared" si="338"/>
        <v>190806.73786090978</v>
      </c>
      <c r="AQ273" s="54"/>
      <c r="AR273" s="262">
        <f t="shared" si="339"/>
        <v>1.3999999999999993E-3</v>
      </c>
      <c r="AS273" s="70">
        <f t="shared" si="339"/>
        <v>183173.04202840454</v>
      </c>
      <c r="AT273" s="178"/>
      <c r="AU273" s="265">
        <v>6.3E-3</v>
      </c>
      <c r="AV273" s="70">
        <v>845694.9024951054</v>
      </c>
      <c r="AW273" s="54"/>
      <c r="AX273" s="263">
        <v>6.4260000000000003E-3</v>
      </c>
      <c r="AY273" s="70">
        <v>858814.80200231413</v>
      </c>
      <c r="AZ273" s="178"/>
      <c r="BA273" s="264">
        <v>5.1000000000000004E-3</v>
      </c>
      <c r="BB273" s="70">
        <v>732398.09031397931</v>
      </c>
      <c r="BC273" s="54"/>
      <c r="BD273" s="262">
        <v>5.1000000000000004E-3</v>
      </c>
      <c r="BE273" s="70">
        <v>743568.41625162878</v>
      </c>
      <c r="BF273" s="178"/>
      <c r="BG273" s="178"/>
      <c r="BH273" s="178"/>
      <c r="BI273" s="178"/>
      <c r="BJ273" s="178"/>
    </row>
    <row r="274" spans="2:62" x14ac:dyDescent="0.4">
      <c r="C274" s="56" t="s">
        <v>19</v>
      </c>
      <c r="D274" s="246" t="s">
        <v>27</v>
      </c>
      <c r="E274" s="262">
        <v>2.0853000000000002</v>
      </c>
      <c r="F274" s="70">
        <f>F43*E274</f>
        <v>1912971.5088511268</v>
      </c>
      <c r="G274" s="54"/>
      <c r="H274" s="262">
        <v>1.837</v>
      </c>
      <c r="I274" s="53"/>
      <c r="J274" s="54"/>
      <c r="K274" s="262">
        <v>1.8654999999999999</v>
      </c>
      <c r="L274" s="53"/>
      <c r="M274" s="54"/>
      <c r="N274" s="262">
        <v>2.0853000000000002</v>
      </c>
      <c r="O274" s="70">
        <f>O43*N274</f>
        <v>1845840.3265236202</v>
      </c>
      <c r="P274" s="54"/>
      <c r="Q274" s="262">
        <f t="shared" si="340"/>
        <v>2.0853000000000002</v>
      </c>
      <c r="R274" s="70">
        <f>R43*Q274</f>
        <v>1734529.6017000002</v>
      </c>
      <c r="S274" s="54"/>
      <c r="T274" s="262">
        <f t="shared" si="341"/>
        <v>2.0853000000000002</v>
      </c>
      <c r="U274" s="70">
        <f>U43*T274</f>
        <v>1776579.7823930336</v>
      </c>
      <c r="V274" s="54"/>
      <c r="W274" s="262">
        <f t="shared" si="342"/>
        <v>2.0853000000000002</v>
      </c>
      <c r="X274" s="70">
        <f>X43*W274</f>
        <v>1794188.9456157372</v>
      </c>
      <c r="Y274" s="54"/>
      <c r="Z274" s="262">
        <f t="shared" si="343"/>
        <v>2.0853000000000002</v>
      </c>
      <c r="AA274" s="70">
        <f>AA43*Z274</f>
        <v>1804919.6953348431</v>
      </c>
      <c r="AB274" s="54"/>
      <c r="AC274" s="263">
        <v>2.2764000000000002</v>
      </c>
      <c r="AD274" s="70">
        <f>AD43*AC274</f>
        <v>1984005.0268657168</v>
      </c>
      <c r="AE274" s="54"/>
      <c r="AF274" s="263">
        <f t="shared" si="344"/>
        <v>2.2764000000000002</v>
      </c>
      <c r="AG274" s="70">
        <f>AG43*AF274</f>
        <v>2000130.2755587841</v>
      </c>
      <c r="AH274" s="178"/>
      <c r="AI274" s="264">
        <f t="shared" si="336"/>
        <v>7.5100000000000389E-2</v>
      </c>
      <c r="AJ274" s="70">
        <f t="shared" si="336"/>
        <v>147968.43976126262</v>
      </c>
      <c r="AK274" s="54"/>
      <c r="AL274" s="262">
        <f t="shared" si="337"/>
        <v>3.1074000000000268E-2</v>
      </c>
      <c r="AM274" s="70">
        <f t="shared" si="337"/>
        <v>125017.58305694582</v>
      </c>
      <c r="AN274" s="54"/>
      <c r="AO274" s="264">
        <f t="shared" si="338"/>
        <v>0.19110000000000005</v>
      </c>
      <c r="AP274" s="70">
        <f t="shared" si="338"/>
        <v>145377.82064542267</v>
      </c>
      <c r="AQ274" s="54"/>
      <c r="AR274" s="262">
        <f t="shared" si="339"/>
        <v>0.19110000000000005</v>
      </c>
      <c r="AS274" s="70">
        <f t="shared" si="339"/>
        <v>125166.39843053813</v>
      </c>
      <c r="AT274" s="178"/>
      <c r="AU274" s="265">
        <v>2.2012999999999998</v>
      </c>
      <c r="AV274" s="70">
        <v>1836036.5871044542</v>
      </c>
      <c r="AW274" s="54"/>
      <c r="AX274" s="263">
        <v>2.2453259999999999</v>
      </c>
      <c r="AY274" s="70">
        <v>1875112.6925018383</v>
      </c>
      <c r="AZ274" s="178"/>
      <c r="BA274" s="264">
        <v>2.0853000000000002</v>
      </c>
      <c r="BB274" s="70">
        <v>1838627.2062202941</v>
      </c>
      <c r="BC274" s="54"/>
      <c r="BD274" s="262">
        <v>2.0853000000000002</v>
      </c>
      <c r="BE274" s="70">
        <v>1874963.877128246</v>
      </c>
      <c r="BF274" s="178"/>
      <c r="BG274" s="178"/>
      <c r="BH274" s="178"/>
      <c r="BI274" s="178"/>
      <c r="BJ274" s="178"/>
    </row>
    <row r="275" spans="2:62" x14ac:dyDescent="0.4">
      <c r="C275" s="56" t="s">
        <v>20</v>
      </c>
      <c r="D275" s="246" t="s">
        <v>27</v>
      </c>
      <c r="E275" s="262">
        <v>2.3336000000000001</v>
      </c>
      <c r="F275" s="70">
        <f>F44*E275</f>
        <v>390081.47060041974</v>
      </c>
      <c r="G275" s="54"/>
      <c r="H275" s="262">
        <v>2.3336000000000001</v>
      </c>
      <c r="I275" s="53"/>
      <c r="J275" s="54"/>
      <c r="K275" s="262">
        <v>2.3698000000000001</v>
      </c>
      <c r="L275" s="53"/>
      <c r="M275" s="54"/>
      <c r="N275" s="262">
        <v>2.3336000000000001</v>
      </c>
      <c r="O275" s="70">
        <f>O44*N275</f>
        <v>371563.612553799</v>
      </c>
      <c r="P275" s="54"/>
      <c r="Q275" s="262">
        <f t="shared" si="340"/>
        <v>2.3336000000000001</v>
      </c>
      <c r="R275" s="70">
        <f>R44*Q275</f>
        <v>435715.7904</v>
      </c>
      <c r="S275" s="54"/>
      <c r="T275" s="262">
        <f t="shared" si="341"/>
        <v>2.3336000000000001</v>
      </c>
      <c r="U275" s="70">
        <f>U44*T275</f>
        <v>455829.57943083369</v>
      </c>
      <c r="V275" s="54"/>
      <c r="W275" s="262">
        <f t="shared" si="342"/>
        <v>2.3336000000000001</v>
      </c>
      <c r="X275" s="70">
        <f>X44*W275</f>
        <v>454281.19683838618</v>
      </c>
      <c r="Y275" s="54"/>
      <c r="Z275" s="262">
        <f t="shared" si="343"/>
        <v>2.3336000000000001</v>
      </c>
      <c r="AA275" s="70">
        <f>AA44*Z275</f>
        <v>451051.6652643836</v>
      </c>
      <c r="AB275" s="54"/>
      <c r="AC275" s="263">
        <v>2.8917000000000002</v>
      </c>
      <c r="AD275" s="70">
        <f>AD44*AC275</f>
        <v>553403.16584317572</v>
      </c>
      <c r="AE275" s="54"/>
      <c r="AF275" s="263">
        <f t="shared" si="344"/>
        <v>2.8917000000000002</v>
      </c>
      <c r="AG275" s="70">
        <f>AG44*AF275</f>
        <v>548125.78524566023</v>
      </c>
      <c r="AH275" s="178"/>
      <c r="AI275" s="264">
        <f t="shared" si="336"/>
        <v>9.529999999999994E-2</v>
      </c>
      <c r="AJ275" s="70">
        <f t="shared" si="336"/>
        <v>84407.726548601291</v>
      </c>
      <c r="AK275" s="54"/>
      <c r="AL275" s="262">
        <f t="shared" si="337"/>
        <v>3.9371999999999741E-2</v>
      </c>
      <c r="AM275" s="70">
        <f t="shared" si="337"/>
        <v>65888.840719103813</v>
      </c>
      <c r="AN275" s="54"/>
      <c r="AO275" s="264">
        <f t="shared" si="338"/>
        <v>0.55810000000000004</v>
      </c>
      <c r="AP275" s="70">
        <f t="shared" si="338"/>
        <v>68395.667252921325</v>
      </c>
      <c r="AQ275" s="54"/>
      <c r="AR275" s="262">
        <f t="shared" si="339"/>
        <v>0.55810000000000004</v>
      </c>
      <c r="AS275" s="70">
        <f t="shared" si="339"/>
        <v>67289.60171699035</v>
      </c>
      <c r="AT275" s="178"/>
      <c r="AU275" s="265">
        <v>2.7964000000000002</v>
      </c>
      <c r="AV275" s="70">
        <v>468995.43929457443</v>
      </c>
      <c r="AW275" s="54"/>
      <c r="AX275" s="263">
        <v>2.8523280000000004</v>
      </c>
      <c r="AY275" s="70">
        <v>482236.94452655641</v>
      </c>
      <c r="AZ275" s="178"/>
      <c r="BA275" s="264">
        <v>2.3336000000000001</v>
      </c>
      <c r="BB275" s="70">
        <v>485007.4985902544</v>
      </c>
      <c r="BC275" s="54"/>
      <c r="BD275" s="262">
        <v>2.3336000000000001</v>
      </c>
      <c r="BE275" s="70">
        <v>480836.18352866988</v>
      </c>
      <c r="BF275" s="178"/>
      <c r="BG275" s="178"/>
      <c r="BH275" s="178"/>
      <c r="BI275" s="178"/>
      <c r="BJ275" s="178"/>
    </row>
    <row r="276" spans="2:62" x14ac:dyDescent="0.4">
      <c r="C276" s="56" t="s">
        <v>21</v>
      </c>
      <c r="D276" s="246" t="s">
        <v>27</v>
      </c>
      <c r="E276" s="262">
        <v>2.5463</v>
      </c>
      <c r="F276" s="70">
        <f>F45*E276</f>
        <v>179730.58549999999</v>
      </c>
      <c r="G276" s="54"/>
      <c r="H276" s="262">
        <v>2.5463</v>
      </c>
      <c r="I276" s="53"/>
      <c r="J276" s="54"/>
      <c r="K276" s="262">
        <v>2.5857999999999999</v>
      </c>
      <c r="L276" s="53"/>
      <c r="M276" s="54"/>
      <c r="N276" s="262">
        <v>2.5463</v>
      </c>
      <c r="O276" s="70">
        <f>O45*N276</f>
        <v>252419.84204323674</v>
      </c>
      <c r="P276" s="54"/>
      <c r="Q276" s="262">
        <f t="shared" si="340"/>
        <v>2.5463</v>
      </c>
      <c r="R276" s="70">
        <f>R45*Q276</f>
        <v>237322.79889999999</v>
      </c>
      <c r="S276" s="54"/>
      <c r="T276" s="262">
        <f t="shared" si="341"/>
        <v>2.5463</v>
      </c>
      <c r="U276" s="70">
        <f>U45*T276</f>
        <v>245591.34827749393</v>
      </c>
      <c r="V276" s="54"/>
      <c r="W276" s="262">
        <f t="shared" si="342"/>
        <v>2.5463</v>
      </c>
      <c r="X276" s="70">
        <f>X45*W276</f>
        <v>245712.41924160827</v>
      </c>
      <c r="Y276" s="54"/>
      <c r="Z276" s="262">
        <f t="shared" si="343"/>
        <v>2.5463</v>
      </c>
      <c r="AA276" s="70">
        <f>AA45*Z276</f>
        <v>246241.66654148727</v>
      </c>
      <c r="AB276" s="54"/>
      <c r="AC276" s="263">
        <v>3.1551999999999998</v>
      </c>
      <c r="AD276" s="70">
        <f>AD45*AC276</f>
        <v>304886.68051662826</v>
      </c>
      <c r="AE276" s="54"/>
      <c r="AF276" s="263">
        <f t="shared" si="344"/>
        <v>3.1551999999999998</v>
      </c>
      <c r="AG276" s="70">
        <f>AG45*AF276</f>
        <v>303553.09260384651</v>
      </c>
      <c r="AH276" s="178"/>
      <c r="AI276" s="264">
        <f t="shared" si="336"/>
        <v>0.10399999999999965</v>
      </c>
      <c r="AJ276" s="70">
        <f t="shared" si="336"/>
        <v>28788.559541225492</v>
      </c>
      <c r="AK276" s="54"/>
      <c r="AL276" s="262">
        <f t="shared" si="337"/>
        <v>4.2975999999999459E-2</v>
      </c>
      <c r="AM276" s="70">
        <f t="shared" si="337"/>
        <v>28525.53837919893</v>
      </c>
      <c r="AN276" s="54"/>
      <c r="AO276" s="264">
        <f t="shared" si="338"/>
        <v>0.60889999999999977</v>
      </c>
      <c r="AP276" s="70">
        <f t="shared" si="338"/>
        <v>58837.949976728851</v>
      </c>
      <c r="AQ276" s="54"/>
      <c r="AR276" s="262">
        <f t="shared" si="339"/>
        <v>0.60889999999999977</v>
      </c>
      <c r="AS276" s="70">
        <f t="shared" si="339"/>
        <v>58580.590164326219</v>
      </c>
      <c r="AT276" s="178"/>
      <c r="AU276" s="265">
        <v>3.0512000000000001</v>
      </c>
      <c r="AV276" s="70">
        <v>276098.12097540277</v>
      </c>
      <c r="AW276" s="54"/>
      <c r="AX276" s="263">
        <v>3.1122240000000003</v>
      </c>
      <c r="AY276" s="70">
        <v>275027.55422464758</v>
      </c>
      <c r="AZ276" s="178"/>
      <c r="BA276" s="264">
        <v>2.5463</v>
      </c>
      <c r="BB276" s="70">
        <v>246048.73053989941</v>
      </c>
      <c r="BC276" s="54"/>
      <c r="BD276" s="262">
        <v>2.5463</v>
      </c>
      <c r="BE276" s="70">
        <v>244972.50243952029</v>
      </c>
      <c r="BF276" s="178"/>
      <c r="BG276" s="178"/>
      <c r="BH276" s="178"/>
      <c r="BI276" s="178"/>
      <c r="BJ276" s="178"/>
    </row>
    <row r="277" spans="2:62" x14ac:dyDescent="0.4">
      <c r="C277" s="56" t="s">
        <v>22</v>
      </c>
      <c r="D277" s="246" t="s">
        <v>27</v>
      </c>
      <c r="E277" s="262">
        <v>2.12</v>
      </c>
      <c r="F277" s="70">
        <f>F46*E277</f>
        <v>62685.17044126978</v>
      </c>
      <c r="G277" s="54"/>
      <c r="H277" s="262">
        <v>2.12</v>
      </c>
      <c r="I277" s="53"/>
      <c r="J277" s="54"/>
      <c r="K277" s="262">
        <v>2.1528999999999998</v>
      </c>
      <c r="L277" s="53"/>
      <c r="M277" s="54"/>
      <c r="N277" s="262">
        <v>2.12</v>
      </c>
      <c r="O277" s="70">
        <f>O46*N277</f>
        <v>52347.445292354882</v>
      </c>
      <c r="P277" s="54"/>
      <c r="Q277" s="262">
        <f t="shared" si="340"/>
        <v>2.12</v>
      </c>
      <c r="R277" s="70">
        <f>R46*Q277</f>
        <v>54314.400000000001</v>
      </c>
      <c r="S277" s="54"/>
      <c r="T277" s="262">
        <f t="shared" si="341"/>
        <v>2.12</v>
      </c>
      <c r="U277" s="70">
        <f>U46*T277</f>
        <v>50692.748273950121</v>
      </c>
      <c r="V277" s="54"/>
      <c r="W277" s="262">
        <f t="shared" si="342"/>
        <v>2.12</v>
      </c>
      <c r="X277" s="70">
        <f>X46*W277</f>
        <v>30950.551012538912</v>
      </c>
      <c r="Y277" s="54"/>
      <c r="Z277" s="262">
        <f t="shared" si="343"/>
        <v>2.12</v>
      </c>
      <c r="AA277" s="70">
        <f>AA46*Z277</f>
        <v>28680.248741867534</v>
      </c>
      <c r="AB277" s="54"/>
      <c r="AC277" s="263">
        <v>2.6269999999999998</v>
      </c>
      <c r="AD277" s="70">
        <f>AD46*AC277</f>
        <v>36213.956560931401</v>
      </c>
      <c r="AE277" s="54"/>
      <c r="AF277" s="263">
        <f t="shared" si="344"/>
        <v>2.6269999999999998</v>
      </c>
      <c r="AG277" s="70">
        <f>AG46*AF277</f>
        <v>36902.256427929598</v>
      </c>
      <c r="AH277" s="178"/>
      <c r="AI277" s="264">
        <f t="shared" si="336"/>
        <v>8.6599999999999788E-2</v>
      </c>
      <c r="AJ277" s="70">
        <f t="shared" si="336"/>
        <v>2311.245476115022</v>
      </c>
      <c r="AK277" s="54"/>
      <c r="AL277" s="262">
        <f t="shared" si="337"/>
        <v>3.5791999999999824E-2</v>
      </c>
      <c r="AM277" s="70">
        <f t="shared" si="337"/>
        <v>879.70289810215763</v>
      </c>
      <c r="AN277" s="54"/>
      <c r="AO277" s="264">
        <f t="shared" si="338"/>
        <v>0.50699999999999967</v>
      </c>
      <c r="AP277" s="70">
        <f t="shared" si="338"/>
        <v>6969.1755903296944</v>
      </c>
      <c r="AQ277" s="54"/>
      <c r="AR277" s="262">
        <f t="shared" si="339"/>
        <v>0.50699999999999967</v>
      </c>
      <c r="AS277" s="70">
        <f t="shared" si="339"/>
        <v>7081.8311688571412</v>
      </c>
      <c r="AT277" s="178"/>
      <c r="AU277" s="265">
        <v>2.5404</v>
      </c>
      <c r="AV277" s="70">
        <v>33902.711084816379</v>
      </c>
      <c r="AW277" s="54"/>
      <c r="AX277" s="263">
        <v>2.591208</v>
      </c>
      <c r="AY277" s="70">
        <v>36022.553529827441</v>
      </c>
      <c r="AZ277" s="178"/>
      <c r="BA277" s="264">
        <v>2.12</v>
      </c>
      <c r="BB277" s="70">
        <v>29244.780970601707</v>
      </c>
      <c r="BC277" s="54"/>
      <c r="BD277" s="262">
        <v>2.12</v>
      </c>
      <c r="BE277" s="70">
        <v>29820.425259072457</v>
      </c>
      <c r="BF277" s="178"/>
      <c r="BG277" s="178"/>
      <c r="BH277" s="178"/>
      <c r="BI277" s="178"/>
      <c r="BJ277" s="178"/>
    </row>
    <row r="278" spans="2:62" x14ac:dyDescent="0.4">
      <c r="C278" s="56" t="s">
        <v>23</v>
      </c>
      <c r="D278" s="246" t="s">
        <v>8</v>
      </c>
      <c r="E278" s="262">
        <v>5.1000000000000004E-3</v>
      </c>
      <c r="F278" s="70">
        <f>F36*F219*E278</f>
        <v>17067.491304265375</v>
      </c>
      <c r="G278" s="54"/>
      <c r="H278" s="262">
        <v>5.1000000000000004E-3</v>
      </c>
      <c r="I278" s="53"/>
      <c r="J278" s="54"/>
      <c r="K278" s="262">
        <v>5.1999999999999998E-3</v>
      </c>
      <c r="L278" s="53"/>
      <c r="M278" s="54"/>
      <c r="N278" s="262">
        <v>5.1000000000000004E-3</v>
      </c>
      <c r="O278" s="70">
        <f>O36*O219*N278</f>
        <v>14546.631210466796</v>
      </c>
      <c r="P278" s="54"/>
      <c r="Q278" s="262">
        <f t="shared" si="340"/>
        <v>5.1000000000000004E-3</v>
      </c>
      <c r="R278" s="70">
        <f>R36*R219*Q278</f>
        <v>14445.242311401986</v>
      </c>
      <c r="S278" s="54"/>
      <c r="T278" s="262">
        <f t="shared" si="341"/>
        <v>5.1000000000000004E-3</v>
      </c>
      <c r="U278" s="70">
        <f>U36*U219*T278</f>
        <v>14367.225440525004</v>
      </c>
      <c r="V278" s="54"/>
      <c r="W278" s="262">
        <f t="shared" si="342"/>
        <v>5.1000000000000004E-3</v>
      </c>
      <c r="X278" s="70">
        <f>X36*X219*W278</f>
        <v>14263.777236794071</v>
      </c>
      <c r="Y278" s="54"/>
      <c r="Z278" s="262">
        <f t="shared" si="343"/>
        <v>5.1000000000000004E-3</v>
      </c>
      <c r="AA278" s="70">
        <f>AA36*AA219*Z278</f>
        <v>14184.58317139523</v>
      </c>
      <c r="AB278" s="54"/>
      <c r="AC278" s="263">
        <v>6.4999999999999997E-3</v>
      </c>
      <c r="AD278" s="70">
        <f>AD36*AD219*AC278</f>
        <v>17925.321025974732</v>
      </c>
      <c r="AE278" s="54"/>
      <c r="AF278" s="263">
        <f t="shared" si="344"/>
        <v>6.4999999999999997E-3</v>
      </c>
      <c r="AG278" s="70">
        <f>AG36*AG219*AF278</f>
        <v>17709.681422440121</v>
      </c>
      <c r="AH278" s="178"/>
      <c r="AI278" s="264">
        <f t="shared" si="336"/>
        <v>1.9999999999999966E-4</v>
      </c>
      <c r="AJ278" s="70">
        <f t="shared" si="336"/>
        <v>874.66691866409019</v>
      </c>
      <c r="AK278" s="54"/>
      <c r="AL278" s="262">
        <f t="shared" si="337"/>
        <v>7.3999999999999413E-5</v>
      </c>
      <c r="AM278" s="70">
        <f t="shared" si="337"/>
        <v>-3.3896166220365558</v>
      </c>
      <c r="AN278" s="54"/>
      <c r="AO278" s="264">
        <f t="shared" si="338"/>
        <v>1.3999999999999993E-3</v>
      </c>
      <c r="AP278" s="70">
        <f t="shared" si="338"/>
        <v>3860.8383748253254</v>
      </c>
      <c r="AQ278" s="54"/>
      <c r="AR278" s="262">
        <f t="shared" si="339"/>
        <v>1.3999999999999993E-3</v>
      </c>
      <c r="AS278" s="70">
        <f t="shared" si="339"/>
        <v>3814.3929217563309</v>
      </c>
      <c r="AT278" s="178"/>
      <c r="AU278" s="265">
        <v>6.3E-3</v>
      </c>
      <c r="AV278" s="70">
        <v>17050.654107310642</v>
      </c>
      <c r="AW278" s="54"/>
      <c r="AX278" s="263">
        <v>6.4260000000000003E-3</v>
      </c>
      <c r="AY278" s="70">
        <v>17713.071039062157</v>
      </c>
      <c r="AZ278" s="178"/>
      <c r="BA278" s="264">
        <v>5.1000000000000004E-3</v>
      </c>
      <c r="BB278" s="70">
        <v>14064.482651149407</v>
      </c>
      <c r="BC278" s="54"/>
      <c r="BD278" s="262">
        <v>5.1000000000000004E-3</v>
      </c>
      <c r="BE278" s="70">
        <v>13895.28850068379</v>
      </c>
      <c r="BF278" s="178"/>
      <c r="BG278" s="178"/>
      <c r="BH278" s="178"/>
      <c r="BI278" s="178"/>
      <c r="BJ278" s="178"/>
    </row>
    <row r="279" spans="2:62" x14ac:dyDescent="0.4">
      <c r="C279" s="56" t="s">
        <v>24</v>
      </c>
      <c r="D279" s="246" t="s">
        <v>27</v>
      </c>
      <c r="E279" s="262">
        <v>2.1566000000000001</v>
      </c>
      <c r="F279" s="70">
        <f>F48*E279</f>
        <v>248.21718707766382</v>
      </c>
      <c r="G279" s="54"/>
      <c r="H279" s="262">
        <v>2.1566000000000001</v>
      </c>
      <c r="I279" s="53"/>
      <c r="J279" s="54"/>
      <c r="K279" s="262">
        <v>2.19</v>
      </c>
      <c r="L279" s="53"/>
      <c r="M279" s="54"/>
      <c r="N279" s="262">
        <v>2.1566000000000001</v>
      </c>
      <c r="O279" s="70">
        <f>O48*N279</f>
        <v>219.7625271599764</v>
      </c>
      <c r="P279" s="54"/>
      <c r="Q279" s="262">
        <f t="shared" si="340"/>
        <v>2.1566000000000001</v>
      </c>
      <c r="R279" s="70">
        <f>R48*Q279</f>
        <v>0</v>
      </c>
      <c r="S279" s="54"/>
      <c r="T279" s="262">
        <f t="shared" si="341"/>
        <v>2.1566000000000001</v>
      </c>
      <c r="U279" s="70">
        <f>U48*T279</f>
        <v>216.00267557620165</v>
      </c>
      <c r="V279" s="54"/>
      <c r="W279" s="262">
        <f t="shared" si="342"/>
        <v>2.1566000000000001</v>
      </c>
      <c r="X279" s="70">
        <f>X48*W279</f>
        <v>207.26327869643183</v>
      </c>
      <c r="Y279" s="54"/>
      <c r="Z279" s="262">
        <f t="shared" si="343"/>
        <v>2.1566000000000001</v>
      </c>
      <c r="AA279" s="70">
        <f>AA48*Z279</f>
        <v>199.20763819755979</v>
      </c>
      <c r="AB279" s="54"/>
      <c r="AC279" s="263">
        <v>2.6722000000000001</v>
      </c>
      <c r="AD279" s="70">
        <f>AD48*AC279</f>
        <v>236.54518976279667</v>
      </c>
      <c r="AE279" s="54"/>
      <c r="AF279" s="263">
        <f t="shared" si="344"/>
        <v>2.6722000000000001</v>
      </c>
      <c r="AG279" s="70">
        <f>AG48*AF279</f>
        <v>225.87050329105338</v>
      </c>
      <c r="AH279" s="178"/>
      <c r="AI279" s="264">
        <f t="shared" si="336"/>
        <v>8.8200000000000056E-2</v>
      </c>
      <c r="AJ279" s="70">
        <f t="shared" si="336"/>
        <v>-13.503803714957201</v>
      </c>
      <c r="AK279" s="54"/>
      <c r="AL279" s="262">
        <f t="shared" si="337"/>
        <v>3.6519999999999886E-2</v>
      </c>
      <c r="AM279" s="70">
        <f t="shared" si="337"/>
        <v>-19.344089497159217</v>
      </c>
      <c r="AN279" s="54"/>
      <c r="AO279" s="264">
        <f t="shared" si="338"/>
        <v>0.51560000000000006</v>
      </c>
      <c r="AP279" s="70">
        <f t="shared" si="338"/>
        <v>45.641306729173692</v>
      </c>
      <c r="AQ279" s="54"/>
      <c r="AR279" s="262">
        <f t="shared" si="339"/>
        <v>0.51560000000000006</v>
      </c>
      <c r="AS279" s="70">
        <f t="shared" si="339"/>
        <v>43.581629929222032</v>
      </c>
      <c r="AT279" s="178"/>
      <c r="AU279" s="265">
        <v>2.5840000000000001</v>
      </c>
      <c r="AV279" s="70">
        <v>250.04899347775387</v>
      </c>
      <c r="AW279" s="54"/>
      <c r="AX279" s="263">
        <v>2.6356800000000002</v>
      </c>
      <c r="AY279" s="70">
        <v>245.2145927882126</v>
      </c>
      <c r="AZ279" s="178"/>
      <c r="BA279" s="264">
        <v>2.1566000000000001</v>
      </c>
      <c r="BB279" s="70">
        <v>190.90388303362298</v>
      </c>
      <c r="BC279" s="54"/>
      <c r="BD279" s="262">
        <v>2.1566000000000001</v>
      </c>
      <c r="BE279" s="70">
        <v>182.28887336183135</v>
      </c>
      <c r="BF279" s="178"/>
      <c r="BG279" s="178"/>
      <c r="BH279" s="178"/>
      <c r="BI279" s="178"/>
      <c r="BJ279" s="178"/>
    </row>
    <row r="280" spans="2:62" ht="14.25" thickBot="1" x14ac:dyDescent="0.45">
      <c r="C280" s="64" t="s">
        <v>25</v>
      </c>
      <c r="D280" s="65"/>
      <c r="E280" s="251"/>
      <c r="F280" s="208">
        <f>SUM(F272:F279)</f>
        <v>6166389.3238722766</v>
      </c>
      <c r="G280" s="54"/>
      <c r="H280" s="251"/>
      <c r="I280" s="53"/>
      <c r="J280" s="54"/>
      <c r="K280" s="252">
        <f>IFERROR(L280/I280-1,0)</f>
        <v>0</v>
      </c>
      <c r="L280" s="53"/>
      <c r="M280" s="54"/>
      <c r="N280" s="253"/>
      <c r="O280" s="208">
        <f>SUM(O272:O279)</f>
        <v>6081932.3802741552</v>
      </c>
      <c r="P280" s="54"/>
      <c r="Q280" s="252">
        <f>IFERROR(R280/L280-1,0)</f>
        <v>0</v>
      </c>
      <c r="R280" s="208">
        <f>SUM(R272:R279)</f>
        <v>6011747.1788534485</v>
      </c>
      <c r="S280" s="54"/>
      <c r="T280" s="251"/>
      <c r="U280" s="208">
        <f>SUM(U272:U279)</f>
        <v>6127670.6568814414</v>
      </c>
      <c r="V280" s="54"/>
      <c r="W280" s="251"/>
      <c r="X280" s="208">
        <f>SUM(X272:X279)</f>
        <v>6146250.0205586972</v>
      </c>
      <c r="Y280" s="54"/>
      <c r="Z280" s="251"/>
      <c r="AA280" s="208">
        <f>SUM(AA272:AA279)</f>
        <v>6158425.8048751624</v>
      </c>
      <c r="AB280" s="54"/>
      <c r="AC280" s="251"/>
      <c r="AD280" s="208">
        <f>SUM(AD272:AD279)</f>
        <v>7443953.7269479763</v>
      </c>
      <c r="AE280" s="54"/>
      <c r="AF280" s="259">
        <f>AF$236</f>
        <v>0</v>
      </c>
      <c r="AG280" s="208">
        <f>SUM(AG272:AG279)</f>
        <v>7470820.6803892013</v>
      </c>
      <c r="AH280" s="178"/>
      <c r="AI280" s="132"/>
      <c r="AJ280" s="208">
        <f t="shared" si="336"/>
        <v>584663.56043405365</v>
      </c>
      <c r="AK280" s="54"/>
      <c r="AL280" s="251"/>
      <c r="AM280" s="208">
        <f t="shared" si="337"/>
        <v>487276.88018669654</v>
      </c>
      <c r="AN280" s="54"/>
      <c r="AO280" s="132"/>
      <c r="AP280" s="208">
        <f>AD280-BB280</f>
        <v>1166725.3809912857</v>
      </c>
      <c r="AQ280" s="54"/>
      <c r="AR280" s="251"/>
      <c r="AS280" s="208">
        <f>AG280-BE280</f>
        <v>1106464.5476634605</v>
      </c>
      <c r="AT280" s="178"/>
      <c r="AU280" s="132"/>
      <c r="AV280" s="208">
        <v>6859290.1665139226</v>
      </c>
      <c r="AW280" s="54"/>
      <c r="AX280" s="259">
        <v>0.02</v>
      </c>
      <c r="AY280" s="208">
        <v>6983543.8002025047</v>
      </c>
      <c r="AZ280" s="178"/>
      <c r="BA280" s="132"/>
      <c r="BB280" s="208">
        <v>6277228.3459566906</v>
      </c>
      <c r="BC280" s="54"/>
      <c r="BD280" s="251"/>
      <c r="BE280" s="208">
        <v>6364356.1327257408</v>
      </c>
      <c r="BF280" s="178"/>
      <c r="BG280" s="178"/>
      <c r="BH280" s="178"/>
      <c r="BI280" s="178"/>
      <c r="BJ280" s="178"/>
    </row>
    <row r="281" spans="2:62" ht="14.25" thickTop="1" x14ac:dyDescent="0.4">
      <c r="C281" s="217"/>
      <c r="D281" s="218"/>
      <c r="E281" s="251"/>
      <c r="F281" s="53"/>
      <c r="G281" s="54"/>
      <c r="H281" s="251"/>
      <c r="I281" s="53"/>
      <c r="J281" s="54"/>
      <c r="K281" s="256" t="s">
        <v>93</v>
      </c>
      <c r="L281" s="53"/>
      <c r="M281" s="54"/>
      <c r="N281" s="143"/>
      <c r="O281" s="53"/>
      <c r="P281" s="54"/>
      <c r="Q281" s="256" t="s">
        <v>93</v>
      </c>
      <c r="R281" s="53"/>
      <c r="S281" s="54"/>
      <c r="T281" s="251"/>
      <c r="U281" s="53"/>
      <c r="V281" s="54"/>
      <c r="W281" s="251"/>
      <c r="X281" s="53"/>
      <c r="Y281" s="54"/>
      <c r="Z281" s="251"/>
      <c r="AA281" s="53"/>
      <c r="AB281" s="54"/>
      <c r="AC281" s="251"/>
      <c r="AD281" s="53"/>
      <c r="AE281" s="54"/>
      <c r="AF281" s="167"/>
      <c r="AG281" s="53"/>
      <c r="AH281" s="178"/>
      <c r="AI281" s="132"/>
      <c r="AJ281" s="53"/>
      <c r="AK281" s="54"/>
      <c r="AL281" s="251"/>
      <c r="AM281" s="53"/>
      <c r="AN281" s="54"/>
      <c r="AO281" s="132"/>
      <c r="AP281" s="53"/>
      <c r="AQ281" s="54"/>
      <c r="AR281" s="251"/>
      <c r="AS281" s="53"/>
      <c r="AT281" s="178"/>
      <c r="AU281" s="132"/>
      <c r="AV281" s="53"/>
      <c r="AW281" s="54"/>
      <c r="AX281" s="167"/>
      <c r="AY281" s="53"/>
      <c r="AZ281" s="178"/>
      <c r="BA281" s="132"/>
      <c r="BB281" s="53"/>
      <c r="BC281" s="54"/>
      <c r="BD281" s="251"/>
      <c r="BE281" s="53"/>
      <c r="BF281" s="178"/>
      <c r="BG281" s="178"/>
      <c r="BH281" s="178"/>
      <c r="BI281" s="178"/>
      <c r="BJ281" s="178"/>
    </row>
    <row r="282" spans="2:62" x14ac:dyDescent="0.4">
      <c r="B282" s="2" t="s">
        <v>101</v>
      </c>
      <c r="C282" s="226"/>
      <c r="D282" s="227"/>
      <c r="E282" s="251"/>
      <c r="F282" s="53"/>
      <c r="G282" s="54"/>
      <c r="H282" s="251"/>
      <c r="I282" s="53"/>
      <c r="J282" s="54"/>
      <c r="K282" s="251"/>
      <c r="L282" s="53"/>
      <c r="M282" s="54"/>
      <c r="N282" s="251"/>
      <c r="O282" s="53"/>
      <c r="P282" s="54"/>
      <c r="Q282" s="251"/>
      <c r="R282" s="53"/>
      <c r="S282" s="54"/>
      <c r="T282" s="251"/>
      <c r="U282" s="53"/>
      <c r="V282" s="54"/>
      <c r="W282" s="251"/>
      <c r="X282" s="53"/>
      <c r="Y282" s="54"/>
      <c r="Z282" s="251"/>
      <c r="AA282" s="53"/>
      <c r="AB282" s="54"/>
      <c r="AC282" s="251"/>
      <c r="AD282" s="53"/>
      <c r="AE282" s="54"/>
      <c r="AF282" s="251"/>
      <c r="AG282" s="53"/>
      <c r="AH282" s="178"/>
      <c r="AI282" s="132"/>
      <c r="AJ282" s="53"/>
      <c r="AK282" s="54"/>
      <c r="AL282" s="251"/>
      <c r="AM282" s="53"/>
      <c r="AN282" s="54"/>
      <c r="AO282" s="132"/>
      <c r="AP282" s="53"/>
      <c r="AQ282" s="54"/>
      <c r="AR282" s="251"/>
      <c r="AS282" s="53"/>
      <c r="AT282" s="178"/>
      <c r="AU282" s="132"/>
      <c r="AV282" s="53"/>
      <c r="AW282" s="54"/>
      <c r="AX282" s="251"/>
      <c r="AY282" s="53"/>
      <c r="AZ282" s="178"/>
      <c r="BA282" s="132"/>
      <c r="BB282" s="53"/>
      <c r="BC282" s="54"/>
      <c r="BD282" s="251"/>
      <c r="BE282" s="53"/>
      <c r="BF282" s="178"/>
      <c r="BG282" s="178"/>
      <c r="BH282" s="178"/>
      <c r="BI282" s="178"/>
      <c r="BJ282" s="178"/>
    </row>
    <row r="283" spans="2:62" x14ac:dyDescent="0.4">
      <c r="C283" s="56" t="s">
        <v>17</v>
      </c>
      <c r="D283" s="246" t="s">
        <v>8</v>
      </c>
      <c r="E283" s="262">
        <v>5.1999999999999998E-3</v>
      </c>
      <c r="F283" s="70">
        <f t="shared" ref="F283:F290" si="345">F30*F213*E283</f>
        <v>2692612.1890838211</v>
      </c>
      <c r="G283" s="54"/>
      <c r="H283" s="262">
        <v>5.1999999999999998E-3</v>
      </c>
      <c r="I283" s="53"/>
      <c r="J283" s="54"/>
      <c r="K283" s="262">
        <v>5.1999999999999998E-3</v>
      </c>
      <c r="L283" s="53"/>
      <c r="M283" s="54"/>
      <c r="N283" s="262">
        <v>5.1999999999999998E-3</v>
      </c>
      <c r="O283" s="70">
        <f t="shared" ref="O283:O290" si="346">O30*O213*N283</f>
        <v>2623057.5948417457</v>
      </c>
      <c r="P283" s="54"/>
      <c r="Q283" s="262">
        <f>N283</f>
        <v>5.1999999999999998E-3</v>
      </c>
      <c r="R283" s="70">
        <f t="shared" ref="R283:R290" si="347">R30*R213*Q283</f>
        <v>2623558.1435736222</v>
      </c>
      <c r="S283" s="54"/>
      <c r="T283" s="262">
        <f>Q283</f>
        <v>5.1999999999999998E-3</v>
      </c>
      <c r="U283" s="70">
        <f t="shared" ref="U283:U290" si="348">U30*U213*T283</f>
        <v>2662620.1124548102</v>
      </c>
      <c r="V283" s="54"/>
      <c r="W283" s="262">
        <f>T283</f>
        <v>5.1999999999999998E-3</v>
      </c>
      <c r="X283" s="70">
        <f t="shared" ref="X283:X290" si="349">X30*X213*W283</f>
        <v>2679358.4309436516</v>
      </c>
      <c r="Y283" s="54"/>
      <c r="Z283" s="262">
        <f>W283</f>
        <v>5.1999999999999998E-3</v>
      </c>
      <c r="AA283" s="70">
        <f t="shared" ref="AA283:AA290" si="350">AA30*AA213*Z283</f>
        <v>2684357.7007387071</v>
      </c>
      <c r="AB283" s="54"/>
      <c r="AC283" s="263">
        <f>0.0032+0.0004</f>
        <v>3.6000000000000003E-3</v>
      </c>
      <c r="AD283" s="70">
        <f t="shared" ref="AD283:AD290" si="351">AD30*AD213*AC283</f>
        <v>1863811.6471393185</v>
      </c>
      <c r="AE283" s="54"/>
      <c r="AF283" s="263">
        <f>AC283</f>
        <v>3.6000000000000003E-3</v>
      </c>
      <c r="AG283" s="70">
        <f t="shared" ref="AG283:AG290" si="352">AG30*AG213*AF283</f>
        <v>1870679.4481785682</v>
      </c>
      <c r="AH283" s="178"/>
      <c r="AI283" s="264">
        <f t="shared" ref="AI283:AJ291" si="353">AC283-AU283</f>
        <v>4.0000000000000018E-4</v>
      </c>
      <c r="AJ283" s="70">
        <f t="shared" si="353"/>
        <v>272629.66951165721</v>
      </c>
      <c r="AK283" s="54"/>
      <c r="AL283" s="262">
        <f t="shared" ref="AL283:AM291" si="354">AF283-AX283</f>
        <v>4.0000000000000018E-4</v>
      </c>
      <c r="AM283" s="70">
        <f t="shared" si="354"/>
        <v>284349.12855436024</v>
      </c>
      <c r="AN283" s="54"/>
      <c r="AO283" s="264">
        <f t="shared" ref="AO283:AP290" si="355">AC283-BA283</f>
        <v>-1.5999999999999994E-3</v>
      </c>
      <c r="AP283" s="70">
        <f t="shared" si="355"/>
        <v>-858431.67330619763</v>
      </c>
      <c r="AQ283" s="54"/>
      <c r="AR283" s="262">
        <f t="shared" ref="AR283:AS290" si="356">AF283-BD283</f>
        <v>-1.5999999999999994E-3</v>
      </c>
      <c r="AS283" s="70">
        <f t="shared" si="356"/>
        <v>-892857.90608423599</v>
      </c>
      <c r="AT283" s="178"/>
      <c r="AU283" s="265">
        <v>3.2000000000000002E-3</v>
      </c>
      <c r="AV283" s="70">
        <v>1591181.9776276613</v>
      </c>
      <c r="AW283" s="54"/>
      <c r="AX283" s="263">
        <v>3.2000000000000002E-3</v>
      </c>
      <c r="AY283" s="70">
        <v>1586330.3196242079</v>
      </c>
      <c r="AZ283" s="178"/>
      <c r="BA283" s="264">
        <v>5.1999999999999998E-3</v>
      </c>
      <c r="BB283" s="70">
        <v>2722243.3204455161</v>
      </c>
      <c r="BC283" s="54"/>
      <c r="BD283" s="262">
        <v>5.1999999999999998E-3</v>
      </c>
      <c r="BE283" s="70">
        <v>2763537.3542628041</v>
      </c>
      <c r="BF283" s="178"/>
      <c r="BG283" s="178"/>
      <c r="BH283" s="178"/>
      <c r="BI283" s="178"/>
      <c r="BJ283" s="178"/>
    </row>
    <row r="284" spans="2:62" x14ac:dyDescent="0.4">
      <c r="C284" s="56" t="s">
        <v>18</v>
      </c>
      <c r="D284" s="246" t="s">
        <v>8</v>
      </c>
      <c r="E284" s="262">
        <f>E283</f>
        <v>5.1999999999999998E-3</v>
      </c>
      <c r="F284" s="70">
        <f t="shared" si="345"/>
        <v>717670.02295466862</v>
      </c>
      <c r="G284" s="54"/>
      <c r="H284" s="262">
        <f>H283</f>
        <v>5.1999999999999998E-3</v>
      </c>
      <c r="I284" s="53"/>
      <c r="J284" s="54"/>
      <c r="K284" s="262">
        <f>K283</f>
        <v>5.1999999999999998E-3</v>
      </c>
      <c r="L284" s="53"/>
      <c r="M284" s="54"/>
      <c r="N284" s="262">
        <v>5.1999999999999998E-3</v>
      </c>
      <c r="O284" s="70">
        <f t="shared" si="346"/>
        <v>734284.35716245498</v>
      </c>
      <c r="P284" s="54"/>
      <c r="Q284" s="262">
        <f t="shared" ref="Q284:Q290" si="357">N284</f>
        <v>5.1999999999999998E-3</v>
      </c>
      <c r="R284" s="70">
        <f t="shared" si="347"/>
        <v>723971.56721693114</v>
      </c>
      <c r="S284" s="54"/>
      <c r="T284" s="262">
        <f>T283</f>
        <v>5.1999999999999998E-3</v>
      </c>
      <c r="U284" s="70">
        <f t="shared" si="348"/>
        <v>731014.90515317838</v>
      </c>
      <c r="V284" s="54"/>
      <c r="W284" s="262">
        <f>W283</f>
        <v>5.1999999999999998E-3</v>
      </c>
      <c r="X284" s="70">
        <f t="shared" si="349"/>
        <v>735323.78369749209</v>
      </c>
      <c r="Y284" s="54"/>
      <c r="Z284" s="262">
        <f>Z283</f>
        <v>5.1999999999999998E-3</v>
      </c>
      <c r="AA284" s="70">
        <f t="shared" si="350"/>
        <v>736464.76753230824</v>
      </c>
      <c r="AB284" s="54"/>
      <c r="AC284" s="266">
        <f>AC$283</f>
        <v>3.6000000000000003E-3</v>
      </c>
      <c r="AD284" s="70">
        <f t="shared" si="351"/>
        <v>511313.44329686172</v>
      </c>
      <c r="AE284" s="54"/>
      <c r="AF284" s="266">
        <f>AF$283</f>
        <v>3.6000000000000003E-3</v>
      </c>
      <c r="AG284" s="70">
        <f t="shared" si="352"/>
        <v>513272.19227817241</v>
      </c>
      <c r="AH284" s="178"/>
      <c r="AI284" s="264">
        <f t="shared" si="353"/>
        <v>4.0000000000000018E-4</v>
      </c>
      <c r="AJ284" s="70">
        <f t="shared" si="353"/>
        <v>81754.127743792313</v>
      </c>
      <c r="AK284" s="54"/>
      <c r="AL284" s="262">
        <f t="shared" si="354"/>
        <v>4.0000000000000018E-4</v>
      </c>
      <c r="AM284" s="70">
        <f t="shared" si="354"/>
        <v>85602.200618134229</v>
      </c>
      <c r="AN284" s="54"/>
      <c r="AO284" s="264">
        <f t="shared" si="355"/>
        <v>-1.5999999999999994E-3</v>
      </c>
      <c r="AP284" s="70">
        <f t="shared" si="355"/>
        <v>-235445.39388601901</v>
      </c>
      <c r="AQ284" s="54"/>
      <c r="AR284" s="262">
        <f t="shared" si="356"/>
        <v>-1.5999999999999994E-3</v>
      </c>
      <c r="AS284" s="70">
        <f t="shared" si="356"/>
        <v>-244875.99684113526</v>
      </c>
      <c r="AT284" s="178"/>
      <c r="AU284" s="267">
        <v>3.2000000000000002E-3</v>
      </c>
      <c r="AV284" s="70">
        <v>429559.31555306941</v>
      </c>
      <c r="AW284" s="54"/>
      <c r="AX284" s="266">
        <v>3.2000000000000002E-3</v>
      </c>
      <c r="AY284" s="70">
        <v>427669.99166003818</v>
      </c>
      <c r="AZ284" s="178"/>
      <c r="BA284" s="264">
        <v>5.1999999999999998E-3</v>
      </c>
      <c r="BB284" s="70">
        <v>746758.83718288073</v>
      </c>
      <c r="BC284" s="54"/>
      <c r="BD284" s="262">
        <v>5.1999999999999998E-3</v>
      </c>
      <c r="BE284" s="70">
        <v>758148.18911930767</v>
      </c>
      <c r="BF284" s="178"/>
      <c r="BG284" s="178"/>
      <c r="BH284" s="178"/>
      <c r="BI284" s="178"/>
      <c r="BJ284" s="178"/>
    </row>
    <row r="285" spans="2:62" x14ac:dyDescent="0.4">
      <c r="C285" s="56" t="s">
        <v>19</v>
      </c>
      <c r="D285" s="246" t="s">
        <v>8</v>
      </c>
      <c r="E285" s="262">
        <f t="shared" ref="E285:E290" si="358">E284</f>
        <v>5.1999999999999998E-3</v>
      </c>
      <c r="F285" s="70">
        <f t="shared" si="345"/>
        <v>1949099.6635165433</v>
      </c>
      <c r="G285" s="54"/>
      <c r="H285" s="262">
        <f t="shared" ref="H285:H290" si="359">H284</f>
        <v>5.1999999999999998E-3</v>
      </c>
      <c r="I285" s="53"/>
      <c r="J285" s="54"/>
      <c r="K285" s="262">
        <f t="shared" ref="K285:K290" si="360">K284</f>
        <v>5.1999999999999998E-3</v>
      </c>
      <c r="L285" s="53"/>
      <c r="M285" s="54"/>
      <c r="N285" s="262">
        <v>5.1999999999999998E-3</v>
      </c>
      <c r="O285" s="70">
        <f t="shared" si="346"/>
        <v>1906957.3591952457</v>
      </c>
      <c r="P285" s="54"/>
      <c r="Q285" s="262">
        <f t="shared" si="357"/>
        <v>5.1999999999999998E-3</v>
      </c>
      <c r="R285" s="70">
        <f t="shared" si="347"/>
        <v>1824288.2253304799</v>
      </c>
      <c r="S285" s="54"/>
      <c r="T285" s="262">
        <f t="shared" ref="T285:T290" si="361">T284</f>
        <v>5.1999999999999998E-3</v>
      </c>
      <c r="U285" s="70">
        <f t="shared" si="348"/>
        <v>1839245.0355659791</v>
      </c>
      <c r="V285" s="54"/>
      <c r="W285" s="262">
        <f t="shared" ref="W285:W290" si="362">W284</f>
        <v>5.1999999999999998E-3</v>
      </c>
      <c r="X285" s="70">
        <f t="shared" si="349"/>
        <v>1857475.3263521341</v>
      </c>
      <c r="Y285" s="54"/>
      <c r="Z285" s="262">
        <f t="shared" ref="Z285:Z290" si="363">Z284</f>
        <v>5.1999999999999998E-3</v>
      </c>
      <c r="AA285" s="70">
        <f t="shared" si="350"/>
        <v>1868584.5815313086</v>
      </c>
      <c r="AB285" s="54"/>
      <c r="AC285" s="266">
        <f t="shared" ref="AC285:AC290" si="364">AC$283</f>
        <v>3.6000000000000003E-3</v>
      </c>
      <c r="AD285" s="70">
        <f t="shared" si="351"/>
        <v>1302617.0806770914</v>
      </c>
      <c r="AE285" s="54"/>
      <c r="AF285" s="266">
        <f t="shared" ref="AF285:AF290" si="365">AF$283</f>
        <v>3.6000000000000003E-3</v>
      </c>
      <c r="AG285" s="70">
        <f t="shared" si="352"/>
        <v>1313204.2637201399</v>
      </c>
      <c r="AH285" s="178"/>
      <c r="AI285" s="264">
        <f t="shared" si="353"/>
        <v>4.0000000000000018E-4</v>
      </c>
      <c r="AJ285" s="70">
        <f t="shared" si="353"/>
        <v>210048.33756081946</v>
      </c>
      <c r="AK285" s="54"/>
      <c r="AL285" s="262">
        <f t="shared" si="354"/>
        <v>4.0000000000000018E-4</v>
      </c>
      <c r="AM285" s="70">
        <f t="shared" si="354"/>
        <v>219261.39294288494</v>
      </c>
      <c r="AN285" s="54"/>
      <c r="AO285" s="264">
        <f t="shared" si="355"/>
        <v>-1.5999999999999994E-3</v>
      </c>
      <c r="AP285" s="70">
        <f t="shared" si="355"/>
        <v>-600863.9759080105</v>
      </c>
      <c r="AQ285" s="54"/>
      <c r="AR285" s="262">
        <f t="shared" si="356"/>
        <v>-1.5999999999999994E-3</v>
      </c>
      <c r="AS285" s="70">
        <f t="shared" si="356"/>
        <v>-627895.16623540735</v>
      </c>
      <c r="AT285" s="178"/>
      <c r="AU285" s="267">
        <v>3.2000000000000002E-3</v>
      </c>
      <c r="AV285" s="70">
        <v>1092568.7431162719</v>
      </c>
      <c r="AW285" s="54"/>
      <c r="AX285" s="266">
        <v>3.2000000000000002E-3</v>
      </c>
      <c r="AY285" s="70">
        <v>1093942.8707772549</v>
      </c>
      <c r="AZ285" s="178"/>
      <c r="BA285" s="264">
        <v>5.1999999999999998E-3</v>
      </c>
      <c r="BB285" s="70">
        <v>1903481.0565851019</v>
      </c>
      <c r="BC285" s="54"/>
      <c r="BD285" s="262">
        <v>5.1999999999999998E-3</v>
      </c>
      <c r="BE285" s="70">
        <v>1941099.4299555472</v>
      </c>
      <c r="BF285" s="178"/>
      <c r="BG285" s="178"/>
      <c r="BH285" s="178"/>
      <c r="BI285" s="178"/>
      <c r="BJ285" s="178"/>
    </row>
    <row r="286" spans="2:62" x14ac:dyDescent="0.4">
      <c r="C286" s="56" t="s">
        <v>20</v>
      </c>
      <c r="D286" s="246" t="s">
        <v>8</v>
      </c>
      <c r="E286" s="262">
        <f t="shared" si="358"/>
        <v>5.1999999999999998E-3</v>
      </c>
      <c r="F286" s="70">
        <f t="shared" si="345"/>
        <v>424004.21779877297</v>
      </c>
      <c r="G286" s="54"/>
      <c r="H286" s="262">
        <f t="shared" si="359"/>
        <v>5.1999999999999998E-3</v>
      </c>
      <c r="I286" s="53"/>
      <c r="J286" s="54"/>
      <c r="K286" s="262">
        <f t="shared" si="360"/>
        <v>5.1999999999999998E-3</v>
      </c>
      <c r="L286" s="53"/>
      <c r="M286" s="54"/>
      <c r="N286" s="262">
        <v>5.1999999999999998E-3</v>
      </c>
      <c r="O286" s="70">
        <f t="shared" si="346"/>
        <v>393811.94349754771</v>
      </c>
      <c r="P286" s="54"/>
      <c r="Q286" s="262">
        <f t="shared" si="357"/>
        <v>5.1999999999999998E-3</v>
      </c>
      <c r="R286" s="70">
        <f t="shared" si="347"/>
        <v>442632.82322895998</v>
      </c>
      <c r="S286" s="54"/>
      <c r="T286" s="262">
        <f t="shared" si="361"/>
        <v>5.1999999999999998E-3</v>
      </c>
      <c r="U286" s="70">
        <f t="shared" si="348"/>
        <v>482131.9682447447</v>
      </c>
      <c r="V286" s="54"/>
      <c r="W286" s="262">
        <f t="shared" si="362"/>
        <v>5.1999999999999998E-3</v>
      </c>
      <c r="X286" s="70">
        <f t="shared" si="349"/>
        <v>480494.24050486268</v>
      </c>
      <c r="Y286" s="54"/>
      <c r="Z286" s="262">
        <f t="shared" si="363"/>
        <v>5.1999999999999998E-3</v>
      </c>
      <c r="AA286" s="70">
        <f t="shared" si="350"/>
        <v>477078.35771764501</v>
      </c>
      <c r="AB286" s="54"/>
      <c r="AC286" s="266">
        <f t="shared" si="364"/>
        <v>3.6000000000000003E-3</v>
      </c>
      <c r="AD286" s="70">
        <f t="shared" si="351"/>
        <v>327022.32550878992</v>
      </c>
      <c r="AE286" s="54"/>
      <c r="AF286" s="266">
        <f t="shared" si="365"/>
        <v>3.6000000000000003E-3</v>
      </c>
      <c r="AG286" s="70">
        <f t="shared" si="352"/>
        <v>323903.76496899792</v>
      </c>
      <c r="AH286" s="178"/>
      <c r="AI286" s="264">
        <f t="shared" si="353"/>
        <v>4.0000000000000018E-4</v>
      </c>
      <c r="AJ286" s="70">
        <f t="shared" si="353"/>
        <v>78279.258367142698</v>
      </c>
      <c r="AK286" s="54"/>
      <c r="AL286" s="262">
        <f t="shared" si="354"/>
        <v>4.0000000000000018E-4</v>
      </c>
      <c r="AM286" s="70">
        <f t="shared" si="354"/>
        <v>73152.765462277748</v>
      </c>
      <c r="AN286" s="54"/>
      <c r="AO286" s="264">
        <f t="shared" si="355"/>
        <v>-1.5999999999999994E-3</v>
      </c>
      <c r="AP286" s="70">
        <f t="shared" si="355"/>
        <v>-185971.19325486338</v>
      </c>
      <c r="AQ286" s="54"/>
      <c r="AR286" s="262">
        <f t="shared" si="356"/>
        <v>-1.5999999999999994E-3</v>
      </c>
      <c r="AS286" s="70">
        <f t="shared" si="356"/>
        <v>-184677.7445009147</v>
      </c>
      <c r="AT286" s="178"/>
      <c r="AU286" s="267">
        <v>3.2000000000000002E-3</v>
      </c>
      <c r="AV286" s="70">
        <v>248743.06714164722</v>
      </c>
      <c r="AW286" s="54"/>
      <c r="AX286" s="266">
        <v>3.2000000000000002E-3</v>
      </c>
      <c r="AY286" s="70">
        <v>250750.99950672017</v>
      </c>
      <c r="AZ286" s="178"/>
      <c r="BA286" s="264">
        <v>5.1999999999999998E-3</v>
      </c>
      <c r="BB286" s="70">
        <v>512993.51876365329</v>
      </c>
      <c r="BC286" s="54"/>
      <c r="BD286" s="262">
        <v>5.1999999999999998E-3</v>
      </c>
      <c r="BE286" s="70">
        <v>508581.50946991262</v>
      </c>
      <c r="BF286" s="178"/>
      <c r="BG286" s="178"/>
      <c r="BH286" s="178"/>
      <c r="BI286" s="178"/>
      <c r="BJ286" s="178"/>
    </row>
    <row r="287" spans="2:62" x14ac:dyDescent="0.4">
      <c r="C287" s="56" t="s">
        <v>21</v>
      </c>
      <c r="D287" s="246" t="s">
        <v>8</v>
      </c>
      <c r="E287" s="262">
        <f t="shared" si="358"/>
        <v>5.1999999999999998E-3</v>
      </c>
      <c r="F287" s="70">
        <f t="shared" si="345"/>
        <v>176212.93593020001</v>
      </c>
      <c r="G287" s="54"/>
      <c r="H287" s="262">
        <f t="shared" si="359"/>
        <v>5.1999999999999998E-3</v>
      </c>
      <c r="I287" s="53"/>
      <c r="J287" s="54"/>
      <c r="K287" s="262">
        <f t="shared" si="360"/>
        <v>5.1999999999999998E-3</v>
      </c>
      <c r="L287" s="53"/>
      <c r="M287" s="54"/>
      <c r="N287" s="262">
        <v>5.1999999999999998E-3</v>
      </c>
      <c r="O287" s="70">
        <f t="shared" si="346"/>
        <v>237942.28560863511</v>
      </c>
      <c r="P287" s="54"/>
      <c r="Q287" s="262">
        <f t="shared" si="357"/>
        <v>5.1999999999999998E-3</v>
      </c>
      <c r="R287" s="70">
        <f t="shared" si="347"/>
        <v>232028.30186536</v>
      </c>
      <c r="S287" s="54"/>
      <c r="T287" s="262">
        <f t="shared" si="361"/>
        <v>5.1999999999999998E-3</v>
      </c>
      <c r="U287" s="70">
        <f t="shared" si="348"/>
        <v>232501.72389981328</v>
      </c>
      <c r="V287" s="54"/>
      <c r="W287" s="262">
        <f t="shared" si="362"/>
        <v>5.1999999999999998E-3</v>
      </c>
      <c r="X287" s="70">
        <f t="shared" si="349"/>
        <v>232616.34197601274</v>
      </c>
      <c r="Y287" s="54"/>
      <c r="Z287" s="262">
        <f t="shared" si="363"/>
        <v>5.1999999999999998E-3</v>
      </c>
      <c r="AA287" s="70">
        <f t="shared" si="350"/>
        <v>233117.38124492115</v>
      </c>
      <c r="AB287" s="54"/>
      <c r="AC287" s="263">
        <v>3.2000000000000002E-3</v>
      </c>
      <c r="AD287" s="70">
        <f t="shared" si="351"/>
        <v>143344.44825988373</v>
      </c>
      <c r="AE287" s="54"/>
      <c r="AF287" s="263">
        <f>AC287</f>
        <v>3.2000000000000002E-3</v>
      </c>
      <c r="AG287" s="70">
        <f t="shared" si="352"/>
        <v>142717.45326213629</v>
      </c>
      <c r="AH287" s="178"/>
      <c r="AI287" s="264">
        <f t="shared" si="353"/>
        <v>0</v>
      </c>
      <c r="AJ287" s="70">
        <f t="shared" si="353"/>
        <v>11388.00286916754</v>
      </c>
      <c r="AK287" s="54"/>
      <c r="AL287" s="262">
        <f t="shared" si="354"/>
        <v>0</v>
      </c>
      <c r="AM287" s="70">
        <f t="shared" si="354"/>
        <v>13850.015959748285</v>
      </c>
      <c r="AN287" s="54"/>
      <c r="AO287" s="264">
        <f t="shared" si="355"/>
        <v>-1.9999999999999996E-3</v>
      </c>
      <c r="AP287" s="70">
        <f t="shared" si="355"/>
        <v>-89590.280162427283</v>
      </c>
      <c r="AQ287" s="54"/>
      <c r="AR287" s="262">
        <f t="shared" si="356"/>
        <v>-1.9999999999999996E-3</v>
      </c>
      <c r="AS287" s="70">
        <f t="shared" si="356"/>
        <v>-89198.40828883514</v>
      </c>
      <c r="AT287" s="178"/>
      <c r="AU287" s="267">
        <v>3.2000000000000002E-3</v>
      </c>
      <c r="AV287" s="70">
        <v>131956.4453907162</v>
      </c>
      <c r="AW287" s="54"/>
      <c r="AX287" s="266">
        <v>3.2000000000000002E-3</v>
      </c>
      <c r="AY287" s="70">
        <v>128867.437302388</v>
      </c>
      <c r="AZ287" s="178"/>
      <c r="BA287" s="264">
        <v>5.1999999999999998E-3</v>
      </c>
      <c r="BB287" s="70">
        <v>232934.72842231102</v>
      </c>
      <c r="BC287" s="54"/>
      <c r="BD287" s="262">
        <v>5.1999999999999998E-3</v>
      </c>
      <c r="BE287" s="70">
        <v>231915.86155097143</v>
      </c>
      <c r="BF287" s="178"/>
      <c r="BG287" s="178"/>
      <c r="BH287" s="178"/>
      <c r="BI287" s="178"/>
      <c r="BJ287" s="178"/>
    </row>
    <row r="288" spans="2:62" x14ac:dyDescent="0.4">
      <c r="C288" s="56" t="s">
        <v>22</v>
      </c>
      <c r="D288" s="246" t="s">
        <v>8</v>
      </c>
      <c r="E288" s="262">
        <f t="shared" si="358"/>
        <v>5.1999999999999998E-3</v>
      </c>
      <c r="F288" s="70">
        <f t="shared" si="345"/>
        <v>59904.339339607774</v>
      </c>
      <c r="G288" s="54"/>
      <c r="H288" s="262">
        <f t="shared" si="359"/>
        <v>5.1999999999999998E-3</v>
      </c>
      <c r="I288" s="53"/>
      <c r="J288" s="54"/>
      <c r="K288" s="262">
        <f t="shared" si="360"/>
        <v>5.1999999999999998E-3</v>
      </c>
      <c r="L288" s="53"/>
      <c r="M288" s="54"/>
      <c r="N288" s="262">
        <v>5.1999999999999998E-3</v>
      </c>
      <c r="O288" s="70">
        <f t="shared" si="346"/>
        <v>49935.37267062781</v>
      </c>
      <c r="P288" s="54"/>
      <c r="Q288" s="262">
        <f t="shared" si="357"/>
        <v>5.1999999999999998E-3</v>
      </c>
      <c r="R288" s="70">
        <f t="shared" si="347"/>
        <v>49852.321413439997</v>
      </c>
      <c r="S288" s="54"/>
      <c r="T288" s="262">
        <f t="shared" si="361"/>
        <v>5.1999999999999998E-3</v>
      </c>
      <c r="U288" s="70">
        <f t="shared" si="348"/>
        <v>46778.076280796478</v>
      </c>
      <c r="V288" s="54"/>
      <c r="W288" s="262">
        <f t="shared" si="362"/>
        <v>5.1999999999999998E-3</v>
      </c>
      <c r="X288" s="70">
        <f t="shared" si="349"/>
        <v>28560.440802559995</v>
      </c>
      <c r="Y288" s="54"/>
      <c r="Z288" s="262">
        <f t="shared" si="363"/>
        <v>5.1999999999999998E-3</v>
      </c>
      <c r="AA288" s="70">
        <f t="shared" si="350"/>
        <v>26465.459243777452</v>
      </c>
      <c r="AB288" s="54"/>
      <c r="AC288" s="266">
        <f t="shared" si="364"/>
        <v>3.6000000000000003E-3</v>
      </c>
      <c r="AD288" s="70">
        <f t="shared" si="351"/>
        <v>18670.134322159141</v>
      </c>
      <c r="AE288" s="54"/>
      <c r="AF288" s="266">
        <f t="shared" si="365"/>
        <v>3.6000000000000003E-3</v>
      </c>
      <c r="AG288" s="70">
        <f t="shared" si="352"/>
        <v>19024.98787010436</v>
      </c>
      <c r="AH288" s="178"/>
      <c r="AI288" s="264">
        <f t="shared" si="353"/>
        <v>4.0000000000000018E-4</v>
      </c>
      <c r="AJ288" s="70">
        <f t="shared" si="353"/>
        <v>2385.9913244040818</v>
      </c>
      <c r="AK288" s="54"/>
      <c r="AL288" s="262">
        <f t="shared" si="354"/>
        <v>4.0000000000000018E-4</v>
      </c>
      <c r="AM288" s="70">
        <f t="shared" si="354"/>
        <v>2061.9042707509107</v>
      </c>
      <c r="AN288" s="54"/>
      <c r="AO288" s="264">
        <f t="shared" si="355"/>
        <v>-1.5999999999999994E-3</v>
      </c>
      <c r="AP288" s="70">
        <f t="shared" si="355"/>
        <v>-8316.2619896972465</v>
      </c>
      <c r="AQ288" s="54"/>
      <c r="AR288" s="262">
        <f t="shared" si="356"/>
        <v>-1.5999999999999994E-3</v>
      </c>
      <c r="AS288" s="70">
        <f t="shared" si="356"/>
        <v>-8492.599457302611</v>
      </c>
      <c r="AT288" s="178"/>
      <c r="AU288" s="267">
        <v>3.2000000000000002E-3</v>
      </c>
      <c r="AV288" s="70">
        <v>16284.14299775506</v>
      </c>
      <c r="AW288" s="54"/>
      <c r="AX288" s="266">
        <v>3.2000000000000002E-3</v>
      </c>
      <c r="AY288" s="70">
        <v>16963.083599353449</v>
      </c>
      <c r="AZ288" s="178"/>
      <c r="BA288" s="264">
        <v>5.1999999999999998E-3</v>
      </c>
      <c r="BB288" s="70">
        <v>26986.396311856388</v>
      </c>
      <c r="BC288" s="54"/>
      <c r="BD288" s="262">
        <v>5.1999999999999998E-3</v>
      </c>
      <c r="BE288" s="70">
        <v>27517.587327406971</v>
      </c>
      <c r="BF288" s="178"/>
      <c r="BG288" s="178"/>
      <c r="BH288" s="178"/>
      <c r="BI288" s="178"/>
      <c r="BJ288" s="178"/>
    </row>
    <row r="289" spans="2:62" x14ac:dyDescent="0.4">
      <c r="C289" s="56" t="s">
        <v>23</v>
      </c>
      <c r="D289" s="246" t="s">
        <v>8</v>
      </c>
      <c r="E289" s="262">
        <f t="shared" si="358"/>
        <v>5.1999999999999998E-3</v>
      </c>
      <c r="F289" s="70">
        <f t="shared" si="345"/>
        <v>17402.147996505872</v>
      </c>
      <c r="G289" s="54"/>
      <c r="H289" s="262">
        <f t="shared" si="359"/>
        <v>5.1999999999999998E-3</v>
      </c>
      <c r="I289" s="53"/>
      <c r="J289" s="54"/>
      <c r="K289" s="262">
        <f t="shared" si="360"/>
        <v>5.1999999999999998E-3</v>
      </c>
      <c r="L289" s="53"/>
      <c r="M289" s="54"/>
      <c r="N289" s="262">
        <v>5.1999999999999998E-3</v>
      </c>
      <c r="O289" s="70">
        <f t="shared" si="346"/>
        <v>14831.859273417123</v>
      </c>
      <c r="P289" s="54"/>
      <c r="Q289" s="262">
        <f t="shared" si="357"/>
        <v>5.1999999999999998E-3</v>
      </c>
      <c r="R289" s="70">
        <f t="shared" si="347"/>
        <v>14728.482356723591</v>
      </c>
      <c r="S289" s="54"/>
      <c r="T289" s="262">
        <f t="shared" si="361"/>
        <v>5.1999999999999998E-3</v>
      </c>
      <c r="U289" s="70">
        <f t="shared" si="348"/>
        <v>14648.935743280394</v>
      </c>
      <c r="V289" s="54"/>
      <c r="W289" s="262">
        <f t="shared" si="362"/>
        <v>5.1999999999999998E-3</v>
      </c>
      <c r="X289" s="70">
        <f t="shared" si="349"/>
        <v>14543.459143397875</v>
      </c>
      <c r="Y289" s="54"/>
      <c r="Z289" s="262">
        <f t="shared" si="363"/>
        <v>5.1999999999999998E-3</v>
      </c>
      <c r="AA289" s="70">
        <f t="shared" si="350"/>
        <v>14462.712253187292</v>
      </c>
      <c r="AB289" s="54"/>
      <c r="AC289" s="266">
        <f t="shared" si="364"/>
        <v>3.6000000000000003E-3</v>
      </c>
      <c r="AD289" s="70">
        <f t="shared" si="351"/>
        <v>9927.8701066936992</v>
      </c>
      <c r="AE289" s="54"/>
      <c r="AF289" s="266">
        <f t="shared" si="365"/>
        <v>3.6000000000000003E-3</v>
      </c>
      <c r="AG289" s="70">
        <f t="shared" si="352"/>
        <v>9808.4389416591457</v>
      </c>
      <c r="AH289" s="178"/>
      <c r="AI289" s="264">
        <f t="shared" si="353"/>
        <v>4.0000000000000018E-4</v>
      </c>
      <c r="AJ289" s="70">
        <f t="shared" si="353"/>
        <v>1267.2204013930568</v>
      </c>
      <c r="AK289" s="54"/>
      <c r="AL289" s="262">
        <f t="shared" si="354"/>
        <v>4.0000000000000018E-4</v>
      </c>
      <c r="AM289" s="70">
        <f t="shared" si="354"/>
        <v>987.7375216468663</v>
      </c>
      <c r="AN289" s="54"/>
      <c r="AO289" s="264">
        <f t="shared" si="355"/>
        <v>-1.5999999999999994E-3</v>
      </c>
      <c r="AP289" s="70">
        <f t="shared" si="355"/>
        <v>-4412.3867140860857</v>
      </c>
      <c r="AQ289" s="54"/>
      <c r="AR289" s="262">
        <f t="shared" si="356"/>
        <v>-1.5999999999999994E-3</v>
      </c>
      <c r="AS289" s="70">
        <f t="shared" si="356"/>
        <v>-4359.3061962929514</v>
      </c>
      <c r="AT289" s="178"/>
      <c r="AU289" s="267">
        <v>3.2000000000000002E-3</v>
      </c>
      <c r="AV289" s="70">
        <v>8660.6497053006424</v>
      </c>
      <c r="AW289" s="54"/>
      <c r="AX289" s="266">
        <v>3.2000000000000002E-3</v>
      </c>
      <c r="AY289" s="70">
        <v>8820.7014200122794</v>
      </c>
      <c r="AZ289" s="178"/>
      <c r="BA289" s="264">
        <v>5.1999999999999998E-3</v>
      </c>
      <c r="BB289" s="70">
        <v>14340.256820779785</v>
      </c>
      <c r="BC289" s="54"/>
      <c r="BD289" s="262">
        <v>5.1999999999999998E-3</v>
      </c>
      <c r="BE289" s="70">
        <v>14167.745137952097</v>
      </c>
      <c r="BF289" s="178"/>
      <c r="BG289" s="178"/>
      <c r="BH289" s="178"/>
      <c r="BI289" s="178"/>
      <c r="BJ289" s="178"/>
    </row>
    <row r="290" spans="2:62" x14ac:dyDescent="0.4">
      <c r="C290" s="56" t="s">
        <v>24</v>
      </c>
      <c r="D290" s="246" t="s">
        <v>8</v>
      </c>
      <c r="E290" s="262">
        <f t="shared" si="358"/>
        <v>5.1999999999999998E-3</v>
      </c>
      <c r="F290" s="70">
        <f t="shared" si="345"/>
        <v>209.1796465025171</v>
      </c>
      <c r="G290" s="54"/>
      <c r="H290" s="262">
        <f t="shared" si="359"/>
        <v>5.1999999999999998E-3</v>
      </c>
      <c r="I290" s="53"/>
      <c r="J290" s="54"/>
      <c r="K290" s="262">
        <f t="shared" si="360"/>
        <v>5.1999999999999998E-3</v>
      </c>
      <c r="L290" s="53"/>
      <c r="M290" s="54"/>
      <c r="N290" s="262">
        <v>5.1999999999999998E-3</v>
      </c>
      <c r="O290" s="70">
        <f t="shared" si="346"/>
        <v>189.51324905282775</v>
      </c>
      <c r="P290" s="54"/>
      <c r="Q290" s="262">
        <f t="shared" si="357"/>
        <v>5.1999999999999998E-3</v>
      </c>
      <c r="R290" s="70">
        <f t="shared" si="347"/>
        <v>0</v>
      </c>
      <c r="S290" s="54"/>
      <c r="T290" s="262">
        <f t="shared" si="361"/>
        <v>5.1999999999999998E-3</v>
      </c>
      <c r="U290" s="70">
        <f t="shared" si="348"/>
        <v>187.01293346069502</v>
      </c>
      <c r="V290" s="54"/>
      <c r="W290" s="262">
        <f t="shared" si="362"/>
        <v>5.1999999999999998E-3</v>
      </c>
      <c r="X290" s="70">
        <f t="shared" si="349"/>
        <v>179.44645196780061</v>
      </c>
      <c r="Y290" s="54"/>
      <c r="Z290" s="262">
        <f t="shared" si="363"/>
        <v>5.1999999999999998E-3</v>
      </c>
      <c r="AA290" s="70">
        <f t="shared" si="350"/>
        <v>172.47195983903359</v>
      </c>
      <c r="AB290" s="54"/>
      <c r="AC290" s="266">
        <f t="shared" si="364"/>
        <v>3.6000000000000003E-3</v>
      </c>
      <c r="AD290" s="70">
        <f t="shared" si="351"/>
        <v>114.42645175904985</v>
      </c>
      <c r="AE290" s="54"/>
      <c r="AF290" s="266">
        <f t="shared" si="365"/>
        <v>3.6000000000000003E-3</v>
      </c>
      <c r="AG290" s="70">
        <f t="shared" si="352"/>
        <v>109.26267523995521</v>
      </c>
      <c r="AH290" s="178"/>
      <c r="AI290" s="264">
        <f t="shared" si="353"/>
        <v>4.0000000000000018E-4</v>
      </c>
      <c r="AJ290" s="70">
        <f t="shared" si="353"/>
        <v>3.891668655231868</v>
      </c>
      <c r="AK290" s="54"/>
      <c r="AL290" s="262">
        <f t="shared" si="354"/>
        <v>4.0000000000000018E-4</v>
      </c>
      <c r="AM290" s="70">
        <f t="shared" si="354"/>
        <v>2.9903966272191127</v>
      </c>
      <c r="AN290" s="54"/>
      <c r="AO290" s="264">
        <f t="shared" si="355"/>
        <v>-1.5999999999999994E-3</v>
      </c>
      <c r="AP290" s="70">
        <f t="shared" si="355"/>
        <v>-50.856200781799913</v>
      </c>
      <c r="AQ290" s="54"/>
      <c r="AR290" s="262">
        <f t="shared" si="356"/>
        <v>-1.5999999999999994E-3</v>
      </c>
      <c r="AS290" s="70">
        <f t="shared" si="356"/>
        <v>-48.56118899553563</v>
      </c>
      <c r="AT290" s="178"/>
      <c r="AU290" s="267">
        <v>3.2000000000000002E-3</v>
      </c>
      <c r="AV290" s="70">
        <v>110.53478310381799</v>
      </c>
      <c r="AW290" s="54"/>
      <c r="AX290" s="266">
        <v>3.2000000000000002E-3</v>
      </c>
      <c r="AY290" s="70">
        <v>106.2722786127361</v>
      </c>
      <c r="AZ290" s="178"/>
      <c r="BA290" s="264">
        <v>5.1999999999999998E-3</v>
      </c>
      <c r="BB290" s="70">
        <v>165.28265254084977</v>
      </c>
      <c r="BC290" s="54"/>
      <c r="BD290" s="262">
        <v>5.1999999999999998E-3</v>
      </c>
      <c r="BE290" s="70">
        <v>157.82386423549084</v>
      </c>
      <c r="BF290" s="178"/>
      <c r="BG290" s="178"/>
      <c r="BH290" s="178"/>
      <c r="BI290" s="178"/>
      <c r="BJ290" s="178"/>
    </row>
    <row r="291" spans="2:62" ht="14.25" thickBot="1" x14ac:dyDescent="0.45">
      <c r="C291" s="64" t="s">
        <v>25</v>
      </c>
      <c r="D291" s="65"/>
      <c r="E291" s="251"/>
      <c r="F291" s="208">
        <f>SUM(F283:F290)</f>
        <v>6037114.6962666214</v>
      </c>
      <c r="G291" s="54"/>
      <c r="H291" s="251"/>
      <c r="I291" s="53"/>
      <c r="J291" s="54"/>
      <c r="K291" s="252">
        <f>IFERROR(L291/I291-1,0)</f>
        <v>0</v>
      </c>
      <c r="L291" s="53"/>
      <c r="M291" s="54"/>
      <c r="N291" s="253"/>
      <c r="O291" s="208">
        <f>SUM(O283:O290)</f>
        <v>5961010.2854987271</v>
      </c>
      <c r="P291" s="54"/>
      <c r="Q291" s="252">
        <f>IFERROR(R291/L291-1,0)</f>
        <v>0</v>
      </c>
      <c r="R291" s="208">
        <f>SUM(R283:R290)</f>
        <v>5911059.8649855163</v>
      </c>
      <c r="S291" s="54"/>
      <c r="T291" s="251"/>
      <c r="U291" s="208">
        <f>SUM(U283:U290)</f>
        <v>6009127.7702760641</v>
      </c>
      <c r="V291" s="54"/>
      <c r="W291" s="251"/>
      <c r="X291" s="208">
        <f>SUM(X283:X290)</f>
        <v>6028551.4698720798</v>
      </c>
      <c r="Y291" s="54"/>
      <c r="Z291" s="251"/>
      <c r="AA291" s="208">
        <f>SUM(AA283:AA290)</f>
        <v>6040703.432221693</v>
      </c>
      <c r="AB291" s="54"/>
      <c r="AC291" s="251"/>
      <c r="AD291" s="208">
        <f>SUM(AD283:AD290)</f>
        <v>4176821.3757625567</v>
      </c>
      <c r="AE291" s="54"/>
      <c r="AF291" s="251"/>
      <c r="AG291" s="208">
        <f>SUM(AG283:AG290)</f>
        <v>4192719.811895018</v>
      </c>
      <c r="AH291" s="178"/>
      <c r="AI291" s="132"/>
      <c r="AJ291" s="208">
        <f t="shared" si="353"/>
        <v>657756.49944703048</v>
      </c>
      <c r="AK291" s="54"/>
      <c r="AL291" s="251"/>
      <c r="AM291" s="208">
        <f t="shared" si="354"/>
        <v>679268.13572642999</v>
      </c>
      <c r="AN291" s="54"/>
      <c r="AO291" s="132"/>
      <c r="AP291" s="208">
        <f>AD291-BB291</f>
        <v>-1983082.0214220844</v>
      </c>
      <c r="AQ291" s="54"/>
      <c r="AR291" s="251"/>
      <c r="AS291" s="208">
        <f>AG291-BE291</f>
        <v>-2052405.6887931204</v>
      </c>
      <c r="AT291" s="178"/>
      <c r="AU291" s="132"/>
      <c r="AV291" s="208">
        <v>3519064.8763155262</v>
      </c>
      <c r="AW291" s="54"/>
      <c r="AX291" s="251"/>
      <c r="AY291" s="208">
        <v>3513451.676168588</v>
      </c>
      <c r="AZ291" s="178"/>
      <c r="BA291" s="132"/>
      <c r="BB291" s="208">
        <v>6159903.3971846411</v>
      </c>
      <c r="BC291" s="54"/>
      <c r="BD291" s="251"/>
      <c r="BE291" s="208">
        <v>6245125.5006881384</v>
      </c>
      <c r="BF291" s="178"/>
      <c r="BG291" s="178"/>
      <c r="BH291" s="178"/>
      <c r="BI291" s="178"/>
      <c r="BJ291" s="178"/>
    </row>
    <row r="292" spans="2:62" ht="14.25" thickTop="1" x14ac:dyDescent="0.4">
      <c r="C292" s="217"/>
      <c r="D292" s="218"/>
      <c r="E292" s="251"/>
      <c r="F292" s="53"/>
      <c r="G292" s="54"/>
      <c r="H292" s="251"/>
      <c r="I292" s="53"/>
      <c r="J292" s="54"/>
      <c r="K292" s="256" t="s">
        <v>93</v>
      </c>
      <c r="L292" s="53"/>
      <c r="M292" s="54"/>
      <c r="N292" s="143"/>
      <c r="O292" s="53"/>
      <c r="P292" s="54"/>
      <c r="Q292" s="256" t="s">
        <v>93</v>
      </c>
      <c r="R292" s="53"/>
      <c r="S292" s="54"/>
      <c r="T292" s="251"/>
      <c r="U292" s="53"/>
      <c r="V292" s="54"/>
      <c r="W292" s="251"/>
      <c r="X292" s="53"/>
      <c r="Y292" s="54"/>
      <c r="Z292" s="251"/>
      <c r="AA292" s="53"/>
      <c r="AB292" s="54"/>
      <c r="AC292" s="268"/>
      <c r="AD292" s="53"/>
      <c r="AE292" s="54"/>
      <c r="AF292" s="251"/>
      <c r="AG292" s="53"/>
      <c r="AH292" s="178"/>
      <c r="AI292" s="132"/>
      <c r="AJ292" s="53"/>
      <c r="AK292" s="54"/>
      <c r="AL292" s="251"/>
      <c r="AM292" s="53"/>
      <c r="AN292" s="54"/>
      <c r="AO292" s="132"/>
      <c r="AP292" s="53"/>
      <c r="AQ292" s="54"/>
      <c r="AR292" s="251"/>
      <c r="AS292" s="53"/>
      <c r="AT292" s="178"/>
      <c r="AU292" s="132"/>
      <c r="AV292" s="53"/>
      <c r="AW292" s="54"/>
      <c r="AX292" s="251"/>
      <c r="AY292" s="53"/>
      <c r="AZ292" s="178"/>
      <c r="BA292" s="132"/>
      <c r="BB292" s="53"/>
      <c r="BC292" s="54"/>
      <c r="BD292" s="251"/>
      <c r="BE292" s="53"/>
      <c r="BF292" s="178"/>
      <c r="BG292" s="178"/>
      <c r="BH292" s="178"/>
      <c r="BI292" s="178"/>
      <c r="BJ292" s="178"/>
    </row>
    <row r="293" spans="2:62" x14ac:dyDescent="0.4">
      <c r="B293" s="2" t="s">
        <v>102</v>
      </c>
      <c r="C293" s="226"/>
      <c r="D293" s="227"/>
      <c r="E293" s="251"/>
      <c r="F293" s="53"/>
      <c r="G293" s="54"/>
      <c r="H293" s="251"/>
      <c r="I293" s="53"/>
      <c r="J293" s="54"/>
      <c r="K293" s="251"/>
      <c r="L293" s="53"/>
      <c r="M293" s="54"/>
      <c r="N293" s="251"/>
      <c r="O293" s="53"/>
      <c r="P293" s="54"/>
      <c r="Q293" s="251"/>
      <c r="R293" s="53"/>
      <c r="S293" s="54"/>
      <c r="T293" s="251"/>
      <c r="U293" s="53"/>
      <c r="V293" s="54"/>
      <c r="W293" s="251"/>
      <c r="X293" s="53"/>
      <c r="Y293" s="54"/>
      <c r="Z293" s="251"/>
      <c r="AA293" s="53"/>
      <c r="AB293" s="54"/>
      <c r="AC293" s="251"/>
      <c r="AD293" s="53"/>
      <c r="AE293" s="54"/>
      <c r="AF293" s="251"/>
      <c r="AG293" s="53"/>
      <c r="AH293" s="178"/>
      <c r="AI293" s="132"/>
      <c r="AJ293" s="53"/>
      <c r="AK293" s="54"/>
      <c r="AL293" s="251"/>
      <c r="AM293" s="53"/>
      <c r="AN293" s="54"/>
      <c r="AO293" s="132"/>
      <c r="AP293" s="53"/>
      <c r="AQ293" s="54"/>
      <c r="AR293" s="251"/>
      <c r="AS293" s="53"/>
      <c r="AT293" s="178"/>
      <c r="AU293" s="132"/>
      <c r="AV293" s="53"/>
      <c r="AW293" s="54"/>
      <c r="AX293" s="251"/>
      <c r="AY293" s="53"/>
      <c r="AZ293" s="178"/>
      <c r="BA293" s="132"/>
      <c r="BB293" s="53"/>
      <c r="BC293" s="54"/>
      <c r="BD293" s="251"/>
      <c r="BE293" s="53"/>
      <c r="BF293" s="178"/>
      <c r="BG293" s="178"/>
      <c r="BH293" s="178"/>
      <c r="BI293" s="178"/>
      <c r="BJ293" s="178"/>
    </row>
    <row r="294" spans="2:62" x14ac:dyDescent="0.4">
      <c r="C294" s="56" t="s">
        <v>17</v>
      </c>
      <c r="D294" s="246" t="s">
        <v>8</v>
      </c>
      <c r="E294" s="262">
        <v>1.2999999999999999E-3</v>
      </c>
      <c r="F294" s="70">
        <f t="shared" ref="F294:F301" si="366">F30*F213*E294</f>
        <v>673153.04727095529</v>
      </c>
      <c r="G294" s="54"/>
      <c r="H294" s="262">
        <f>(0.0013*4+0.0011*8)/12</f>
        <v>1.1666666666666668E-3</v>
      </c>
      <c r="I294" s="53"/>
      <c r="J294" s="54"/>
      <c r="K294" s="262">
        <v>1.1000000000000001E-3</v>
      </c>
      <c r="L294" s="53"/>
      <c r="M294" s="54"/>
      <c r="N294" s="262">
        <v>1.2666666666666666E-3</v>
      </c>
      <c r="O294" s="70">
        <f t="shared" ref="O294:O301" si="367">O30*O213*N294</f>
        <v>638949.92694863037</v>
      </c>
      <c r="P294" s="54"/>
      <c r="Q294" s="247">
        <f>0.0012/12*4+0.0013/12*8</f>
        <v>1.2666666666666666E-3</v>
      </c>
      <c r="R294" s="70">
        <f t="shared" ref="R294:R301" si="368">R30*R213*Q294</f>
        <v>639071.85548588238</v>
      </c>
      <c r="S294" s="54"/>
      <c r="T294" s="262">
        <v>1.2999999999999999E-3</v>
      </c>
      <c r="U294" s="70">
        <f t="shared" ref="U294:U301" si="369">U30*U213*T294</f>
        <v>665655.02811370254</v>
      </c>
      <c r="V294" s="54"/>
      <c r="W294" s="262">
        <f>T294</f>
        <v>1.2999999999999999E-3</v>
      </c>
      <c r="X294" s="70">
        <f t="shared" ref="X294:X301" si="370">X30*X213*W294</f>
        <v>669839.6077359129</v>
      </c>
      <c r="Y294" s="54"/>
      <c r="Z294" s="262">
        <f>W294</f>
        <v>1.2999999999999999E-3</v>
      </c>
      <c r="AA294" s="70">
        <f t="shared" ref="AA294:AA301" si="371">AA30*AA213*Z294</f>
        <v>671089.42518467677</v>
      </c>
      <c r="AB294" s="54"/>
      <c r="AC294" s="263">
        <v>2.9999999999999997E-4</v>
      </c>
      <c r="AD294" s="70">
        <f t="shared" ref="AD294:AD301" si="372">AD30*AD213*AC294</f>
        <v>155317.63726160987</v>
      </c>
      <c r="AE294" s="54"/>
      <c r="AF294" s="263">
        <f>AC294</f>
        <v>2.9999999999999997E-4</v>
      </c>
      <c r="AG294" s="70">
        <f t="shared" ref="AG294:AG301" si="373">AG30*AG213*AF294</f>
        <v>155889.95401488064</v>
      </c>
      <c r="AH294" s="178"/>
      <c r="AI294" s="264">
        <f t="shared" ref="AI294:AJ302" si="374">AC294-AU294</f>
        <v>0</v>
      </c>
      <c r="AJ294" s="70">
        <f t="shared" si="374"/>
        <v>6144.3268590166408</v>
      </c>
      <c r="AK294" s="54"/>
      <c r="AL294" s="262">
        <f t="shared" ref="AL294:AM302" si="375">AF294-AX294</f>
        <v>0</v>
      </c>
      <c r="AM294" s="70">
        <f t="shared" si="375"/>
        <v>7171.4865501111781</v>
      </c>
      <c r="AN294" s="54"/>
      <c r="AO294" s="264">
        <f t="shared" ref="AO294:AP301" si="376">AC294-BA294</f>
        <v>-1E-3</v>
      </c>
      <c r="AP294" s="70">
        <f t="shared" si="376"/>
        <v>-525243.19284976914</v>
      </c>
      <c r="AQ294" s="54"/>
      <c r="AR294" s="262">
        <f t="shared" ref="AR294:AS301" si="377">AF294-BD294</f>
        <v>-1E-3</v>
      </c>
      <c r="AS294" s="70">
        <f t="shared" si="377"/>
        <v>-534994.38455082034</v>
      </c>
      <c r="AT294" s="178"/>
      <c r="AU294" s="265">
        <v>2.9999999999999997E-4</v>
      </c>
      <c r="AV294" s="70">
        <v>149173.31040259323</v>
      </c>
      <c r="AW294" s="54"/>
      <c r="AX294" s="263">
        <v>2.9999999999999997E-4</v>
      </c>
      <c r="AY294" s="70">
        <v>148718.46746476946</v>
      </c>
      <c r="AZ294" s="178"/>
      <c r="BA294" s="264">
        <v>1.2999999999999999E-3</v>
      </c>
      <c r="BB294" s="70">
        <v>680560.83011137904</v>
      </c>
      <c r="BC294" s="54"/>
      <c r="BD294" s="262">
        <v>1.2999999999999999E-3</v>
      </c>
      <c r="BE294" s="70">
        <v>690884.33856570104</v>
      </c>
      <c r="BF294" s="178"/>
      <c r="BG294" s="178"/>
      <c r="BH294" s="178"/>
      <c r="BI294" s="178"/>
      <c r="BJ294" s="178"/>
    </row>
    <row r="295" spans="2:62" x14ac:dyDescent="0.4">
      <c r="C295" s="56" t="s">
        <v>18</v>
      </c>
      <c r="D295" s="246" t="s">
        <v>8</v>
      </c>
      <c r="E295" s="262">
        <f>E294</f>
        <v>1.2999999999999999E-3</v>
      </c>
      <c r="F295" s="70">
        <f t="shared" si="366"/>
        <v>179417.50573866715</v>
      </c>
      <c r="G295" s="54"/>
      <c r="H295" s="262">
        <f>H294</f>
        <v>1.1666666666666668E-3</v>
      </c>
      <c r="I295" s="53"/>
      <c r="J295" s="54"/>
      <c r="K295" s="262">
        <f>K294</f>
        <v>1.1000000000000001E-3</v>
      </c>
      <c r="L295" s="53"/>
      <c r="M295" s="54"/>
      <c r="N295" s="262">
        <v>1.2666666666666666E-3</v>
      </c>
      <c r="O295" s="70">
        <f t="shared" si="367"/>
        <v>178864.13828316212</v>
      </c>
      <c r="P295" s="54"/>
      <c r="Q295" s="247">
        <f>Q294</f>
        <v>1.2666666666666666E-3</v>
      </c>
      <c r="R295" s="70">
        <f t="shared" si="368"/>
        <v>176352.04842463709</v>
      </c>
      <c r="S295" s="54"/>
      <c r="T295" s="262">
        <f>T294</f>
        <v>1.2999999999999999E-3</v>
      </c>
      <c r="U295" s="70">
        <f t="shared" si="369"/>
        <v>182753.72628829459</v>
      </c>
      <c r="V295" s="54"/>
      <c r="W295" s="262">
        <f>W294</f>
        <v>1.2999999999999999E-3</v>
      </c>
      <c r="X295" s="70">
        <f t="shared" si="370"/>
        <v>183830.94592437302</v>
      </c>
      <c r="Y295" s="54"/>
      <c r="Z295" s="262">
        <f>Z294</f>
        <v>1.2999999999999999E-3</v>
      </c>
      <c r="AA295" s="70">
        <f t="shared" si="371"/>
        <v>184116.19188307706</v>
      </c>
      <c r="AB295" s="54"/>
      <c r="AC295" s="266">
        <f>AC294</f>
        <v>2.9999999999999997E-4</v>
      </c>
      <c r="AD295" s="70">
        <f t="shared" si="372"/>
        <v>42609.453608071803</v>
      </c>
      <c r="AE295" s="54"/>
      <c r="AF295" s="266">
        <f>AF294</f>
        <v>2.9999999999999997E-4</v>
      </c>
      <c r="AG295" s="70">
        <f t="shared" si="373"/>
        <v>42772.682689847694</v>
      </c>
      <c r="AH295" s="178"/>
      <c r="AI295" s="264">
        <f t="shared" si="374"/>
        <v>0</v>
      </c>
      <c r="AJ295" s="70">
        <f t="shared" si="374"/>
        <v>2338.2677749715513</v>
      </c>
      <c r="AK295" s="54"/>
      <c r="AL295" s="262">
        <f t="shared" si="375"/>
        <v>0</v>
      </c>
      <c r="AM295" s="70">
        <f t="shared" si="375"/>
        <v>2678.6209717191232</v>
      </c>
      <c r="AN295" s="54"/>
      <c r="AO295" s="264">
        <f t="shared" si="376"/>
        <v>-1E-3</v>
      </c>
      <c r="AP295" s="70">
        <f t="shared" si="376"/>
        <v>-144080.25568764837</v>
      </c>
      <c r="AQ295" s="54"/>
      <c r="AR295" s="262">
        <f t="shared" si="377"/>
        <v>-1E-3</v>
      </c>
      <c r="AS295" s="70">
        <f t="shared" si="377"/>
        <v>-146764.36458997923</v>
      </c>
      <c r="AT295" s="178"/>
      <c r="AU295" s="267">
        <v>2.9999999999999997E-4</v>
      </c>
      <c r="AV295" s="70">
        <v>40271.185833100251</v>
      </c>
      <c r="AW295" s="54"/>
      <c r="AX295" s="266">
        <v>2.9999999999999997E-4</v>
      </c>
      <c r="AY295" s="70">
        <v>40094.061718128571</v>
      </c>
      <c r="AZ295" s="178"/>
      <c r="BA295" s="264">
        <v>1.2999999999999999E-3</v>
      </c>
      <c r="BB295" s="70">
        <v>186689.70929572018</v>
      </c>
      <c r="BC295" s="54"/>
      <c r="BD295" s="262">
        <v>1.2999999999999999E-3</v>
      </c>
      <c r="BE295" s="70">
        <v>189537.04727982692</v>
      </c>
      <c r="BF295" s="178"/>
      <c r="BG295" s="178"/>
      <c r="BH295" s="178"/>
      <c r="BI295" s="178"/>
      <c r="BJ295" s="178"/>
    </row>
    <row r="296" spans="2:62" x14ac:dyDescent="0.4">
      <c r="C296" s="56" t="s">
        <v>19</v>
      </c>
      <c r="D296" s="246" t="s">
        <v>8</v>
      </c>
      <c r="E296" s="262">
        <f t="shared" ref="E296:E301" si="378">E295</f>
        <v>1.2999999999999999E-3</v>
      </c>
      <c r="F296" s="70">
        <f t="shared" si="366"/>
        <v>487274.91587913583</v>
      </c>
      <c r="G296" s="54"/>
      <c r="H296" s="262">
        <f t="shared" ref="H296:H301" si="379">H295</f>
        <v>1.1666666666666668E-3</v>
      </c>
      <c r="I296" s="53"/>
      <c r="J296" s="54"/>
      <c r="K296" s="262">
        <f t="shared" ref="K296:K301" si="380">K295</f>
        <v>1.1000000000000001E-3</v>
      </c>
      <c r="L296" s="53"/>
      <c r="M296" s="54"/>
      <c r="N296" s="262">
        <v>1.2666666666666666E-3</v>
      </c>
      <c r="O296" s="70">
        <f t="shared" si="367"/>
        <v>464515.25416294445</v>
      </c>
      <c r="P296" s="54"/>
      <c r="Q296" s="247">
        <f t="shared" ref="Q296:Q301" si="381">Q295</f>
        <v>1.2666666666666666E-3</v>
      </c>
      <c r="R296" s="70">
        <f t="shared" si="368"/>
        <v>444377.90104203997</v>
      </c>
      <c r="S296" s="54"/>
      <c r="T296" s="262">
        <f t="shared" ref="T296:T301" si="382">T295</f>
        <v>1.2999999999999999E-3</v>
      </c>
      <c r="U296" s="70">
        <f t="shared" si="369"/>
        <v>459811.25889149477</v>
      </c>
      <c r="V296" s="54"/>
      <c r="W296" s="262">
        <f t="shared" ref="W296:W301" si="383">W295</f>
        <v>1.2999999999999999E-3</v>
      </c>
      <c r="X296" s="70">
        <f t="shared" si="370"/>
        <v>464368.83158803353</v>
      </c>
      <c r="Y296" s="54"/>
      <c r="Z296" s="262">
        <f t="shared" ref="Z296:Z301" si="384">Z295</f>
        <v>1.2999999999999999E-3</v>
      </c>
      <c r="AA296" s="70">
        <f t="shared" si="371"/>
        <v>467146.14538282715</v>
      </c>
      <c r="AB296" s="54"/>
      <c r="AC296" s="266">
        <f>AC294</f>
        <v>2.9999999999999997E-4</v>
      </c>
      <c r="AD296" s="70">
        <f t="shared" si="372"/>
        <v>108551.42338975761</v>
      </c>
      <c r="AE296" s="54"/>
      <c r="AF296" s="266">
        <f>AF294</f>
        <v>2.9999999999999997E-4</v>
      </c>
      <c r="AG296" s="70">
        <f t="shared" si="373"/>
        <v>109433.68864334497</v>
      </c>
      <c r="AH296" s="178"/>
      <c r="AI296" s="264">
        <f t="shared" si="374"/>
        <v>0</v>
      </c>
      <c r="AJ296" s="70">
        <f t="shared" si="374"/>
        <v>6123.1037226071203</v>
      </c>
      <c r="AK296" s="54"/>
      <c r="AL296" s="262">
        <f t="shared" si="375"/>
        <v>0</v>
      </c>
      <c r="AM296" s="70">
        <f t="shared" si="375"/>
        <v>6876.5445079773344</v>
      </c>
      <c r="AN296" s="54"/>
      <c r="AO296" s="264">
        <f t="shared" si="376"/>
        <v>-1E-3</v>
      </c>
      <c r="AP296" s="70">
        <f t="shared" si="376"/>
        <v>-367318.84075651783</v>
      </c>
      <c r="AQ296" s="54"/>
      <c r="AR296" s="262">
        <f t="shared" si="377"/>
        <v>-1E-3</v>
      </c>
      <c r="AS296" s="70">
        <f t="shared" si="377"/>
        <v>-375841.16884554183</v>
      </c>
      <c r="AT296" s="178"/>
      <c r="AU296" s="267">
        <v>2.9999999999999997E-4</v>
      </c>
      <c r="AV296" s="70">
        <v>102428.31966715048</v>
      </c>
      <c r="AW296" s="54"/>
      <c r="AX296" s="266">
        <v>2.9999999999999997E-4</v>
      </c>
      <c r="AY296" s="70">
        <v>102557.14413536763</v>
      </c>
      <c r="AZ296" s="178"/>
      <c r="BA296" s="264">
        <v>1.2999999999999999E-3</v>
      </c>
      <c r="BB296" s="70">
        <v>475870.26414627547</v>
      </c>
      <c r="BC296" s="54"/>
      <c r="BD296" s="262">
        <v>1.2999999999999999E-3</v>
      </c>
      <c r="BE296" s="70">
        <v>485274.8574888868</v>
      </c>
      <c r="BF296" s="178"/>
      <c r="BG296" s="178"/>
      <c r="BH296" s="178"/>
      <c r="BI296" s="178"/>
      <c r="BJ296" s="178"/>
    </row>
    <row r="297" spans="2:62" x14ac:dyDescent="0.4">
      <c r="C297" s="56" t="s">
        <v>20</v>
      </c>
      <c r="D297" s="246" t="s">
        <v>8</v>
      </c>
      <c r="E297" s="262">
        <f t="shared" si="378"/>
        <v>1.2999999999999999E-3</v>
      </c>
      <c r="F297" s="70">
        <f t="shared" si="366"/>
        <v>106001.05444969324</v>
      </c>
      <c r="G297" s="54"/>
      <c r="H297" s="262">
        <f t="shared" si="379"/>
        <v>1.1666666666666668E-3</v>
      </c>
      <c r="I297" s="53"/>
      <c r="J297" s="54"/>
      <c r="K297" s="262">
        <f t="shared" si="380"/>
        <v>1.1000000000000001E-3</v>
      </c>
      <c r="L297" s="53"/>
      <c r="M297" s="54"/>
      <c r="N297" s="262">
        <v>1.2666666666666666E-3</v>
      </c>
      <c r="O297" s="70">
        <f t="shared" si="367"/>
        <v>95928.550339146226</v>
      </c>
      <c r="P297" s="54"/>
      <c r="Q297" s="247">
        <f t="shared" si="381"/>
        <v>1.2666666666666666E-3</v>
      </c>
      <c r="R297" s="70">
        <f t="shared" si="368"/>
        <v>107820.81591474666</v>
      </c>
      <c r="S297" s="54"/>
      <c r="T297" s="262">
        <f t="shared" si="382"/>
        <v>1.2999999999999999E-3</v>
      </c>
      <c r="U297" s="70">
        <f t="shared" si="369"/>
        <v>120532.99206118617</v>
      </c>
      <c r="V297" s="54"/>
      <c r="W297" s="262">
        <f t="shared" si="383"/>
        <v>1.2999999999999999E-3</v>
      </c>
      <c r="X297" s="70">
        <f t="shared" si="370"/>
        <v>120123.56012621567</v>
      </c>
      <c r="Y297" s="54"/>
      <c r="Z297" s="262">
        <f t="shared" si="384"/>
        <v>1.2999999999999999E-3</v>
      </c>
      <c r="AA297" s="70">
        <f t="shared" si="371"/>
        <v>119269.58942941125</v>
      </c>
      <c r="AB297" s="54"/>
      <c r="AC297" s="266">
        <f>AC294</f>
        <v>2.9999999999999997E-4</v>
      </c>
      <c r="AD297" s="70">
        <f t="shared" si="372"/>
        <v>27251.860459065821</v>
      </c>
      <c r="AE297" s="54"/>
      <c r="AF297" s="266">
        <f>AF294</f>
        <v>2.9999999999999997E-4</v>
      </c>
      <c r="AG297" s="70">
        <f t="shared" si="373"/>
        <v>26991.980414083155</v>
      </c>
      <c r="AH297" s="178"/>
      <c r="AI297" s="264">
        <f t="shared" si="374"/>
        <v>0</v>
      </c>
      <c r="AJ297" s="70">
        <f t="shared" si="374"/>
        <v>3932.1979145363985</v>
      </c>
      <c r="AK297" s="54"/>
      <c r="AL297" s="262">
        <f t="shared" si="375"/>
        <v>0</v>
      </c>
      <c r="AM297" s="70">
        <f t="shared" si="375"/>
        <v>3484.0742103281409</v>
      </c>
      <c r="AN297" s="54"/>
      <c r="AO297" s="264">
        <f t="shared" si="376"/>
        <v>-1E-3</v>
      </c>
      <c r="AP297" s="70">
        <f t="shared" si="376"/>
        <v>-100996.5192318475</v>
      </c>
      <c r="AQ297" s="54"/>
      <c r="AR297" s="262">
        <f t="shared" si="377"/>
        <v>-1E-3</v>
      </c>
      <c r="AS297" s="70">
        <f t="shared" si="377"/>
        <v>-100153.396953395</v>
      </c>
      <c r="AT297" s="178"/>
      <c r="AU297" s="267">
        <v>2.9999999999999997E-4</v>
      </c>
      <c r="AV297" s="70">
        <v>23319.662544529423</v>
      </c>
      <c r="AW297" s="54"/>
      <c r="AX297" s="266">
        <v>2.9999999999999997E-4</v>
      </c>
      <c r="AY297" s="70">
        <v>23507.906203755014</v>
      </c>
      <c r="AZ297" s="178"/>
      <c r="BA297" s="264">
        <v>1.2999999999999999E-3</v>
      </c>
      <c r="BB297" s="70">
        <v>128248.37969091332</v>
      </c>
      <c r="BC297" s="54"/>
      <c r="BD297" s="262">
        <v>1.2999999999999999E-3</v>
      </c>
      <c r="BE297" s="70">
        <v>127145.37736747816</v>
      </c>
      <c r="BF297" s="178"/>
      <c r="BG297" s="178"/>
      <c r="BH297" s="178"/>
      <c r="BI297" s="178"/>
      <c r="BJ297" s="178"/>
    </row>
    <row r="298" spans="2:62" x14ac:dyDescent="0.4">
      <c r="C298" s="56" t="s">
        <v>21</v>
      </c>
      <c r="D298" s="246" t="s">
        <v>8</v>
      </c>
      <c r="E298" s="262">
        <f t="shared" si="378"/>
        <v>1.2999999999999999E-3</v>
      </c>
      <c r="F298" s="70">
        <f t="shared" si="366"/>
        <v>44053.233982550002</v>
      </c>
      <c r="G298" s="54"/>
      <c r="H298" s="262">
        <f t="shared" si="379"/>
        <v>1.1666666666666668E-3</v>
      </c>
      <c r="I298" s="53"/>
      <c r="J298" s="54"/>
      <c r="K298" s="262">
        <f t="shared" si="380"/>
        <v>1.1000000000000001E-3</v>
      </c>
      <c r="L298" s="53"/>
      <c r="M298" s="54"/>
      <c r="N298" s="262">
        <v>1.2666666666666666E-3</v>
      </c>
      <c r="O298" s="70">
        <f t="shared" si="367"/>
        <v>57960.300340564965</v>
      </c>
      <c r="P298" s="54"/>
      <c r="Q298" s="247">
        <f t="shared" si="381"/>
        <v>1.2666666666666666E-3</v>
      </c>
      <c r="R298" s="70">
        <f t="shared" si="368"/>
        <v>56519.714556946667</v>
      </c>
      <c r="S298" s="54"/>
      <c r="T298" s="262">
        <f t="shared" si="382"/>
        <v>1.2999999999999999E-3</v>
      </c>
      <c r="U298" s="70">
        <f t="shared" si="369"/>
        <v>58125.43097495332</v>
      </c>
      <c r="V298" s="54"/>
      <c r="W298" s="262">
        <f t="shared" si="383"/>
        <v>1.2999999999999999E-3</v>
      </c>
      <c r="X298" s="70">
        <f t="shared" si="370"/>
        <v>58154.085494003186</v>
      </c>
      <c r="Y298" s="54"/>
      <c r="Z298" s="262">
        <f t="shared" si="384"/>
        <v>1.2999999999999999E-3</v>
      </c>
      <c r="AA298" s="70">
        <f t="shared" si="371"/>
        <v>58279.345311230289</v>
      </c>
      <c r="AB298" s="54"/>
      <c r="AC298" s="266">
        <f>AC294</f>
        <v>2.9999999999999997E-4</v>
      </c>
      <c r="AD298" s="70">
        <f t="shared" si="372"/>
        <v>13438.542024364097</v>
      </c>
      <c r="AE298" s="54"/>
      <c r="AF298" s="266">
        <f>AF294</f>
        <v>2.9999999999999997E-4</v>
      </c>
      <c r="AG298" s="70">
        <f t="shared" si="373"/>
        <v>13379.761243325274</v>
      </c>
      <c r="AH298" s="178"/>
      <c r="AI298" s="264">
        <f t="shared" si="374"/>
        <v>0</v>
      </c>
      <c r="AJ298" s="70">
        <f t="shared" si="374"/>
        <v>1067.625268984455</v>
      </c>
      <c r="AK298" s="54"/>
      <c r="AL298" s="262">
        <f t="shared" si="375"/>
        <v>0</v>
      </c>
      <c r="AM298" s="70">
        <f t="shared" si="375"/>
        <v>1298.4389962263995</v>
      </c>
      <c r="AN298" s="54"/>
      <c r="AO298" s="264">
        <f t="shared" si="376"/>
        <v>-1E-3</v>
      </c>
      <c r="AP298" s="70">
        <f t="shared" si="376"/>
        <v>-44795.140081213656</v>
      </c>
      <c r="AQ298" s="54"/>
      <c r="AR298" s="262">
        <f t="shared" si="377"/>
        <v>-1E-3</v>
      </c>
      <c r="AS298" s="70">
        <f t="shared" si="377"/>
        <v>-44599.204144417585</v>
      </c>
      <c r="AT298" s="178"/>
      <c r="AU298" s="267">
        <v>2.9999999999999997E-4</v>
      </c>
      <c r="AV298" s="70">
        <v>12370.916755379641</v>
      </c>
      <c r="AW298" s="54"/>
      <c r="AX298" s="266">
        <v>2.9999999999999997E-4</v>
      </c>
      <c r="AY298" s="70">
        <v>12081.322247098875</v>
      </c>
      <c r="AZ298" s="178"/>
      <c r="BA298" s="264">
        <v>1.2999999999999999E-3</v>
      </c>
      <c r="BB298" s="70">
        <v>58233.682105577755</v>
      </c>
      <c r="BC298" s="54"/>
      <c r="BD298" s="262">
        <v>1.2999999999999999E-3</v>
      </c>
      <c r="BE298" s="70">
        <v>57978.965387742857</v>
      </c>
      <c r="BF298" s="178"/>
      <c r="BG298" s="178"/>
      <c r="BH298" s="178"/>
      <c r="BI298" s="178"/>
      <c r="BJ298" s="178"/>
    </row>
    <row r="299" spans="2:62" x14ac:dyDescent="0.4">
      <c r="C299" s="56" t="s">
        <v>22</v>
      </c>
      <c r="D299" s="246" t="s">
        <v>8</v>
      </c>
      <c r="E299" s="262">
        <f t="shared" si="378"/>
        <v>1.2999999999999999E-3</v>
      </c>
      <c r="F299" s="70">
        <f t="shared" si="366"/>
        <v>14976.084834901943</v>
      </c>
      <c r="G299" s="54"/>
      <c r="H299" s="262">
        <f t="shared" si="379"/>
        <v>1.1666666666666668E-3</v>
      </c>
      <c r="I299" s="53"/>
      <c r="J299" s="54"/>
      <c r="K299" s="262">
        <f t="shared" si="380"/>
        <v>1.1000000000000001E-3</v>
      </c>
      <c r="L299" s="53"/>
      <c r="M299" s="54"/>
      <c r="N299" s="262">
        <v>1.2666666666666666E-3</v>
      </c>
      <c r="O299" s="70">
        <f t="shared" si="367"/>
        <v>12163.744624896517</v>
      </c>
      <c r="P299" s="54"/>
      <c r="Q299" s="247">
        <f t="shared" si="381"/>
        <v>1.2666666666666666E-3</v>
      </c>
      <c r="R299" s="70">
        <f t="shared" si="368"/>
        <v>12143.514190453332</v>
      </c>
      <c r="S299" s="54"/>
      <c r="T299" s="262">
        <f t="shared" si="382"/>
        <v>1.2999999999999999E-3</v>
      </c>
      <c r="U299" s="70">
        <f t="shared" si="369"/>
        <v>11694.51907019912</v>
      </c>
      <c r="V299" s="54"/>
      <c r="W299" s="262">
        <f t="shared" si="383"/>
        <v>1.2999999999999999E-3</v>
      </c>
      <c r="X299" s="70">
        <f t="shared" si="370"/>
        <v>7140.1102006399988</v>
      </c>
      <c r="Y299" s="54"/>
      <c r="Z299" s="262">
        <f t="shared" si="384"/>
        <v>1.2999999999999999E-3</v>
      </c>
      <c r="AA299" s="70">
        <f t="shared" si="371"/>
        <v>6616.3648109443629</v>
      </c>
      <c r="AB299" s="54"/>
      <c r="AC299" s="266">
        <f>AC294</f>
        <v>2.9999999999999997E-4</v>
      </c>
      <c r="AD299" s="70">
        <f t="shared" si="372"/>
        <v>1555.8445268465946</v>
      </c>
      <c r="AE299" s="54"/>
      <c r="AF299" s="266">
        <f>AF294</f>
        <v>2.9999999999999997E-4</v>
      </c>
      <c r="AG299" s="70">
        <f t="shared" si="373"/>
        <v>1585.4156558420298</v>
      </c>
      <c r="AH299" s="178"/>
      <c r="AI299" s="264">
        <f t="shared" si="374"/>
        <v>0</v>
      </c>
      <c r="AJ299" s="70">
        <f t="shared" si="374"/>
        <v>29.206120807057914</v>
      </c>
      <c r="AK299" s="54"/>
      <c r="AL299" s="262">
        <f t="shared" si="375"/>
        <v>0</v>
      </c>
      <c r="AM299" s="70">
        <f t="shared" si="375"/>
        <v>-4.8734315973558751</v>
      </c>
      <c r="AN299" s="54"/>
      <c r="AO299" s="264">
        <f t="shared" si="376"/>
        <v>-1E-3</v>
      </c>
      <c r="AP299" s="70">
        <f t="shared" si="376"/>
        <v>-5190.7545511175022</v>
      </c>
      <c r="AQ299" s="54"/>
      <c r="AR299" s="262">
        <f t="shared" si="377"/>
        <v>-1E-3</v>
      </c>
      <c r="AS299" s="70">
        <f t="shared" si="377"/>
        <v>-5293.9811760097127</v>
      </c>
      <c r="AT299" s="178"/>
      <c r="AU299" s="267">
        <v>2.9999999999999997E-4</v>
      </c>
      <c r="AV299" s="70">
        <v>1526.6384060395367</v>
      </c>
      <c r="AW299" s="54"/>
      <c r="AX299" s="266">
        <v>2.9999999999999997E-4</v>
      </c>
      <c r="AY299" s="70">
        <v>1590.2890874393856</v>
      </c>
      <c r="AZ299" s="178"/>
      <c r="BA299" s="264">
        <v>1.2999999999999999E-3</v>
      </c>
      <c r="BB299" s="70">
        <v>6746.599077964097</v>
      </c>
      <c r="BC299" s="54"/>
      <c r="BD299" s="262">
        <v>1.2999999999999999E-3</v>
      </c>
      <c r="BE299" s="70">
        <v>6879.3968318517427</v>
      </c>
      <c r="BF299" s="178"/>
      <c r="BG299" s="178"/>
      <c r="BH299" s="178"/>
      <c r="BI299" s="178"/>
      <c r="BJ299" s="178"/>
    </row>
    <row r="300" spans="2:62" x14ac:dyDescent="0.4">
      <c r="C300" s="56" t="s">
        <v>23</v>
      </c>
      <c r="D300" s="246" t="s">
        <v>8</v>
      </c>
      <c r="E300" s="262">
        <f t="shared" si="378"/>
        <v>1.2999999999999999E-3</v>
      </c>
      <c r="F300" s="70">
        <f t="shared" si="366"/>
        <v>4350.5369991264679</v>
      </c>
      <c r="G300" s="54"/>
      <c r="H300" s="262">
        <f t="shared" si="379"/>
        <v>1.1666666666666668E-3</v>
      </c>
      <c r="I300" s="53"/>
      <c r="J300" s="54"/>
      <c r="K300" s="262">
        <f t="shared" si="380"/>
        <v>1.1000000000000001E-3</v>
      </c>
      <c r="L300" s="53"/>
      <c r="M300" s="54"/>
      <c r="N300" s="262">
        <v>1.2666666666666666E-3</v>
      </c>
      <c r="O300" s="70">
        <f t="shared" si="367"/>
        <v>3612.8887973708374</v>
      </c>
      <c r="P300" s="54"/>
      <c r="Q300" s="247">
        <f t="shared" si="381"/>
        <v>1.2666666666666666E-3</v>
      </c>
      <c r="R300" s="70">
        <f t="shared" si="368"/>
        <v>3587.7072407403621</v>
      </c>
      <c r="S300" s="54"/>
      <c r="T300" s="262">
        <f t="shared" si="382"/>
        <v>1.2999999999999999E-3</v>
      </c>
      <c r="U300" s="70">
        <f t="shared" si="369"/>
        <v>3662.2339358200984</v>
      </c>
      <c r="V300" s="54"/>
      <c r="W300" s="262">
        <f t="shared" si="383"/>
        <v>1.2999999999999999E-3</v>
      </c>
      <c r="X300" s="70">
        <f t="shared" si="370"/>
        <v>3635.8647858494687</v>
      </c>
      <c r="Y300" s="54"/>
      <c r="Z300" s="262">
        <f t="shared" si="384"/>
        <v>1.2999999999999999E-3</v>
      </c>
      <c r="AA300" s="70">
        <f t="shared" si="371"/>
        <v>3615.678063296823</v>
      </c>
      <c r="AB300" s="54"/>
      <c r="AC300" s="266">
        <f>AC294</f>
        <v>2.9999999999999997E-4</v>
      </c>
      <c r="AD300" s="70">
        <f t="shared" si="372"/>
        <v>827.32250889114141</v>
      </c>
      <c r="AE300" s="54"/>
      <c r="AF300" s="266">
        <f>AF294</f>
        <v>2.9999999999999997E-4</v>
      </c>
      <c r="AG300" s="70">
        <f t="shared" si="373"/>
        <v>817.36991180492862</v>
      </c>
      <c r="AH300" s="178"/>
      <c r="AI300" s="264">
        <f t="shared" si="374"/>
        <v>0</v>
      </c>
      <c r="AJ300" s="70">
        <f t="shared" si="374"/>
        <v>15.386599019206187</v>
      </c>
      <c r="AK300" s="54"/>
      <c r="AL300" s="262">
        <f t="shared" si="375"/>
        <v>0</v>
      </c>
      <c r="AM300" s="70">
        <f t="shared" si="375"/>
        <v>-9.5708463212224615</v>
      </c>
      <c r="AN300" s="54"/>
      <c r="AO300" s="264">
        <f t="shared" si="376"/>
        <v>-1E-3</v>
      </c>
      <c r="AP300" s="70">
        <f t="shared" si="376"/>
        <v>-2757.7416963038049</v>
      </c>
      <c r="AQ300" s="54"/>
      <c r="AR300" s="262">
        <f t="shared" si="377"/>
        <v>-1E-3</v>
      </c>
      <c r="AS300" s="70">
        <f t="shared" si="377"/>
        <v>-2724.5663726830958</v>
      </c>
      <c r="AT300" s="178"/>
      <c r="AU300" s="267">
        <v>2.9999999999999997E-4</v>
      </c>
      <c r="AV300" s="70">
        <v>811.93590987193522</v>
      </c>
      <c r="AW300" s="54"/>
      <c r="AX300" s="266">
        <v>2.9999999999999997E-4</v>
      </c>
      <c r="AY300" s="70">
        <v>826.94075812615108</v>
      </c>
      <c r="AZ300" s="178"/>
      <c r="BA300" s="264">
        <v>1.2999999999999999E-3</v>
      </c>
      <c r="BB300" s="70">
        <v>3585.0642051949462</v>
      </c>
      <c r="BC300" s="54"/>
      <c r="BD300" s="262">
        <v>1.2999999999999999E-3</v>
      </c>
      <c r="BE300" s="70">
        <v>3541.9362844880243</v>
      </c>
      <c r="BF300" s="178"/>
      <c r="BG300" s="178"/>
      <c r="BH300" s="178"/>
      <c r="BI300" s="178"/>
      <c r="BJ300" s="178"/>
    </row>
    <row r="301" spans="2:62" x14ac:dyDescent="0.4">
      <c r="C301" s="56" t="s">
        <v>24</v>
      </c>
      <c r="D301" s="246" t="s">
        <v>8</v>
      </c>
      <c r="E301" s="262">
        <f t="shared" si="378"/>
        <v>1.2999999999999999E-3</v>
      </c>
      <c r="F301" s="70">
        <f t="shared" si="366"/>
        <v>52.294911625629275</v>
      </c>
      <c r="G301" s="54"/>
      <c r="H301" s="262">
        <f t="shared" si="379"/>
        <v>1.1666666666666668E-3</v>
      </c>
      <c r="I301" s="53"/>
      <c r="J301" s="54"/>
      <c r="K301" s="262">
        <f t="shared" si="380"/>
        <v>1.1000000000000001E-3</v>
      </c>
      <c r="L301" s="53"/>
      <c r="M301" s="54"/>
      <c r="N301" s="262">
        <v>1.2666666666666666E-3</v>
      </c>
      <c r="O301" s="70">
        <f t="shared" si="367"/>
        <v>46.163483743637528</v>
      </c>
      <c r="P301" s="54"/>
      <c r="Q301" s="247">
        <f t="shared" si="381"/>
        <v>1.2666666666666666E-3</v>
      </c>
      <c r="R301" s="70">
        <f t="shared" si="368"/>
        <v>0</v>
      </c>
      <c r="S301" s="54"/>
      <c r="T301" s="262">
        <f t="shared" si="382"/>
        <v>1.2999999999999999E-3</v>
      </c>
      <c r="U301" s="70">
        <f t="shared" si="369"/>
        <v>46.753233365173756</v>
      </c>
      <c r="V301" s="54"/>
      <c r="W301" s="262">
        <f t="shared" si="383"/>
        <v>1.2999999999999999E-3</v>
      </c>
      <c r="X301" s="70">
        <f t="shared" si="370"/>
        <v>44.861612991950153</v>
      </c>
      <c r="Y301" s="54"/>
      <c r="Z301" s="262">
        <f t="shared" si="384"/>
        <v>1.2999999999999999E-3</v>
      </c>
      <c r="AA301" s="70">
        <f t="shared" si="371"/>
        <v>43.117989959758397</v>
      </c>
      <c r="AB301" s="54"/>
      <c r="AC301" s="266">
        <f>AC294</f>
        <v>2.9999999999999997E-4</v>
      </c>
      <c r="AD301" s="70">
        <f t="shared" si="372"/>
        <v>9.5355376465874855</v>
      </c>
      <c r="AE301" s="54"/>
      <c r="AF301" s="266">
        <f>AF294</f>
        <v>2.9999999999999997E-4</v>
      </c>
      <c r="AG301" s="70">
        <f t="shared" si="373"/>
        <v>9.1052229366629334</v>
      </c>
      <c r="AH301" s="178"/>
      <c r="AI301" s="264">
        <f t="shared" si="374"/>
        <v>0</v>
      </c>
      <c r="AJ301" s="70">
        <f t="shared" si="374"/>
        <v>-0.82709826939544939</v>
      </c>
      <c r="AK301" s="54"/>
      <c r="AL301" s="262">
        <f t="shared" si="375"/>
        <v>0</v>
      </c>
      <c r="AM301" s="70">
        <f t="shared" si="375"/>
        <v>-0.85780318328107441</v>
      </c>
      <c r="AN301" s="54"/>
      <c r="AO301" s="264">
        <f t="shared" si="376"/>
        <v>-1E-3</v>
      </c>
      <c r="AP301" s="70">
        <f t="shared" si="376"/>
        <v>-31.785125488624956</v>
      </c>
      <c r="AQ301" s="54"/>
      <c r="AR301" s="262">
        <f t="shared" si="377"/>
        <v>-1E-3</v>
      </c>
      <c r="AS301" s="70">
        <f t="shared" si="377"/>
        <v>-30.350743122209778</v>
      </c>
      <c r="AT301" s="178"/>
      <c r="AU301" s="267">
        <v>2.9999999999999997E-4</v>
      </c>
      <c r="AV301" s="70">
        <v>10.362635915982935</v>
      </c>
      <c r="AW301" s="54"/>
      <c r="AX301" s="266">
        <v>2.9999999999999997E-4</v>
      </c>
      <c r="AY301" s="70">
        <v>9.9630261199440078</v>
      </c>
      <c r="AZ301" s="178"/>
      <c r="BA301" s="264">
        <v>1.2999999999999999E-3</v>
      </c>
      <c r="BB301" s="70">
        <v>41.320663135212442</v>
      </c>
      <c r="BC301" s="54"/>
      <c r="BD301" s="262">
        <v>1.2999999999999999E-3</v>
      </c>
      <c r="BE301" s="70">
        <v>39.455966058872711</v>
      </c>
      <c r="BF301" s="178"/>
      <c r="BG301" s="178"/>
      <c r="BH301" s="178"/>
      <c r="BI301" s="178"/>
      <c r="BJ301" s="178"/>
    </row>
    <row r="302" spans="2:62" ht="14.25" thickBot="1" x14ac:dyDescent="0.45">
      <c r="C302" s="64" t="s">
        <v>25</v>
      </c>
      <c r="D302" s="65"/>
      <c r="E302" s="251"/>
      <c r="F302" s="208">
        <f>SUM(F294:F301)</f>
        <v>1509278.6740666553</v>
      </c>
      <c r="G302" s="54"/>
      <c r="H302" s="251"/>
      <c r="I302" s="53"/>
      <c r="J302" s="54"/>
      <c r="K302" s="252">
        <f>IFERROR(L302/I302-1,0)</f>
        <v>0</v>
      </c>
      <c r="L302" s="53"/>
      <c r="M302" s="54"/>
      <c r="N302" s="253"/>
      <c r="O302" s="208">
        <f>SUM(O294:O301)</f>
        <v>1452040.9669804592</v>
      </c>
      <c r="P302" s="54"/>
      <c r="Q302" s="252">
        <f>IFERROR(R302/L302-1,0)</f>
        <v>0</v>
      </c>
      <c r="R302" s="208">
        <f>SUM(R294:R301)</f>
        <v>1439873.5568554464</v>
      </c>
      <c r="S302" s="54"/>
      <c r="T302" s="251"/>
      <c r="U302" s="208">
        <f>SUM(U294:U301)</f>
        <v>1502281.942569016</v>
      </c>
      <c r="V302" s="54"/>
      <c r="W302" s="251"/>
      <c r="X302" s="208">
        <f>SUM(X294:X301)</f>
        <v>1507137.8674680199</v>
      </c>
      <c r="Y302" s="54"/>
      <c r="Z302" s="251"/>
      <c r="AA302" s="208">
        <f>SUM(AA294:AA301)</f>
        <v>1510175.8580554232</v>
      </c>
      <c r="AB302" s="54"/>
      <c r="AC302" s="251"/>
      <c r="AD302" s="208">
        <f>SUM(AD294:AD301)</f>
        <v>349561.61931625352</v>
      </c>
      <c r="AE302" s="54"/>
      <c r="AF302" s="251"/>
      <c r="AG302" s="208">
        <f>SUM(AG294:AG301)</f>
        <v>350879.95779606531</v>
      </c>
      <c r="AH302" s="178"/>
      <c r="AI302" s="132"/>
      <c r="AJ302" s="208">
        <f t="shared" si="374"/>
        <v>19649.287161673012</v>
      </c>
      <c r="AK302" s="54"/>
      <c r="AL302" s="251"/>
      <c r="AM302" s="208">
        <f t="shared" si="375"/>
        <v>21493.863155260333</v>
      </c>
      <c r="AN302" s="54"/>
      <c r="AO302" s="132"/>
      <c r="AP302" s="208">
        <f>AD302-BB302</f>
        <v>-1190414.2299799067</v>
      </c>
      <c r="AQ302" s="54"/>
      <c r="AR302" s="251"/>
      <c r="AS302" s="208">
        <f>AG302-BE302</f>
        <v>-1210401.4173759692</v>
      </c>
      <c r="AT302" s="178"/>
      <c r="AU302" s="132"/>
      <c r="AV302" s="208">
        <v>329912.33215458051</v>
      </c>
      <c r="AW302" s="54"/>
      <c r="AX302" s="251"/>
      <c r="AY302" s="208">
        <v>329386.09464080498</v>
      </c>
      <c r="AZ302" s="178"/>
      <c r="BA302" s="132"/>
      <c r="BB302" s="208">
        <v>1539975.8492961603</v>
      </c>
      <c r="BC302" s="54"/>
      <c r="BD302" s="251"/>
      <c r="BE302" s="208">
        <v>1561281.3751720346</v>
      </c>
      <c r="BF302" s="178"/>
      <c r="BG302" s="178"/>
      <c r="BH302" s="178"/>
      <c r="BI302" s="178"/>
      <c r="BJ302" s="178"/>
    </row>
    <row r="303" spans="2:62" ht="14.25" thickTop="1" x14ac:dyDescent="0.4">
      <c r="C303" s="217"/>
      <c r="D303" s="218"/>
      <c r="E303" s="251"/>
      <c r="F303" s="53"/>
      <c r="G303" s="54"/>
      <c r="H303" s="251"/>
      <c r="I303" s="53"/>
      <c r="J303" s="54"/>
      <c r="K303" s="256" t="s">
        <v>93</v>
      </c>
      <c r="L303" s="53"/>
      <c r="M303" s="54"/>
      <c r="N303" s="143"/>
      <c r="O303" s="53"/>
      <c r="P303" s="54"/>
      <c r="Q303" s="256" t="s">
        <v>93</v>
      </c>
      <c r="R303" s="53"/>
      <c r="S303" s="54"/>
      <c r="T303" s="251"/>
      <c r="U303" s="53"/>
      <c r="V303" s="54"/>
      <c r="W303" s="251"/>
      <c r="X303" s="53"/>
      <c r="Y303" s="54"/>
      <c r="Z303" s="251"/>
      <c r="AA303" s="53"/>
      <c r="AB303" s="54"/>
      <c r="AC303" s="251"/>
      <c r="AD303" s="53"/>
      <c r="AE303" s="54"/>
      <c r="AF303" s="251"/>
      <c r="AG303" s="53"/>
      <c r="AH303" s="178"/>
      <c r="AI303" s="132"/>
      <c r="AJ303" s="53"/>
      <c r="AK303" s="54"/>
      <c r="AL303" s="251"/>
      <c r="AM303" s="53"/>
      <c r="AN303" s="54"/>
      <c r="AO303" s="132"/>
      <c r="AP303" s="53"/>
      <c r="AQ303" s="54"/>
      <c r="AR303" s="251"/>
      <c r="AS303" s="53"/>
      <c r="AT303" s="178"/>
      <c r="AU303" s="132"/>
      <c r="AV303" s="53"/>
      <c r="AW303" s="54"/>
      <c r="AX303" s="251"/>
      <c r="AY303" s="53"/>
      <c r="AZ303" s="178"/>
      <c r="BA303" s="132"/>
      <c r="BB303" s="53"/>
      <c r="BC303" s="54"/>
      <c r="BD303" s="251"/>
      <c r="BE303" s="53"/>
      <c r="BF303" s="178"/>
      <c r="BG303" s="178"/>
      <c r="BH303" s="178"/>
      <c r="BI303" s="178"/>
      <c r="BJ303" s="178"/>
    </row>
    <row r="304" spans="2:62" x14ac:dyDescent="0.4">
      <c r="C304" s="39"/>
      <c r="D304" s="39"/>
      <c r="E304" s="251"/>
      <c r="F304" s="53"/>
      <c r="G304" s="54"/>
      <c r="H304" s="251"/>
      <c r="I304" s="53"/>
      <c r="J304" s="54"/>
      <c r="K304" s="251"/>
      <c r="L304" s="53"/>
      <c r="M304" s="54"/>
      <c r="N304" s="251"/>
      <c r="O304" s="53"/>
      <c r="P304" s="54"/>
      <c r="Q304" s="251"/>
      <c r="R304" s="53"/>
      <c r="S304" s="54"/>
      <c r="T304" s="251"/>
      <c r="U304" s="53"/>
      <c r="V304" s="54"/>
      <c r="W304" s="251"/>
      <c r="X304" s="53"/>
      <c r="Y304" s="54"/>
      <c r="Z304" s="251"/>
      <c r="AA304" s="53"/>
      <c r="AB304" s="54"/>
      <c r="AC304" s="251"/>
      <c r="AD304" s="53"/>
      <c r="AE304" s="54"/>
      <c r="AF304" s="251"/>
      <c r="AG304" s="53"/>
      <c r="AH304" s="178"/>
      <c r="AI304" s="132"/>
      <c r="AJ304" s="53"/>
      <c r="AK304" s="54"/>
      <c r="AL304" s="251"/>
      <c r="AM304" s="53"/>
      <c r="AN304" s="54"/>
      <c r="AO304" s="132"/>
      <c r="AP304" s="53"/>
      <c r="AQ304" s="54"/>
      <c r="AR304" s="251"/>
      <c r="AS304" s="53"/>
      <c r="AT304" s="178"/>
      <c r="AU304" s="132"/>
      <c r="AV304" s="53"/>
      <c r="AW304" s="54"/>
      <c r="AX304" s="251"/>
      <c r="AY304" s="53"/>
      <c r="AZ304" s="178"/>
      <c r="BA304" s="132"/>
      <c r="BB304" s="53"/>
      <c r="BC304" s="54"/>
      <c r="BD304" s="251"/>
      <c r="BE304" s="53"/>
      <c r="BF304" s="178"/>
      <c r="BG304" s="178"/>
      <c r="BH304" s="178"/>
      <c r="BI304" s="178"/>
      <c r="BJ304" s="178"/>
    </row>
    <row r="305" spans="2:62" x14ac:dyDescent="0.4">
      <c r="B305" s="269" t="s">
        <v>103</v>
      </c>
      <c r="C305" s="226"/>
      <c r="D305" s="227"/>
      <c r="E305" s="251"/>
      <c r="F305" s="53"/>
      <c r="G305" s="54"/>
      <c r="H305" s="251"/>
      <c r="I305" s="53"/>
      <c r="J305" s="54"/>
      <c r="K305" s="251"/>
      <c r="L305" s="53"/>
      <c r="M305" s="54"/>
      <c r="N305" s="251"/>
      <c r="O305" s="53"/>
      <c r="P305" s="54"/>
      <c r="Q305" s="251"/>
      <c r="R305" s="53"/>
      <c r="S305" s="54"/>
      <c r="T305" s="251"/>
      <c r="U305" s="53"/>
      <c r="V305" s="54"/>
      <c r="W305" s="251"/>
      <c r="X305" s="53"/>
      <c r="Y305" s="54"/>
      <c r="Z305" s="251"/>
      <c r="AA305" s="53"/>
      <c r="AB305" s="54"/>
      <c r="AC305" s="251"/>
      <c r="AD305" s="53"/>
      <c r="AE305" s="54"/>
      <c r="AF305" s="251"/>
      <c r="AG305" s="53"/>
      <c r="AH305" s="178"/>
      <c r="AI305" s="132"/>
      <c r="AJ305" s="53"/>
      <c r="AK305" s="54"/>
      <c r="AL305" s="251"/>
      <c r="AM305" s="53"/>
      <c r="AN305" s="54"/>
      <c r="AO305" s="132"/>
      <c r="AP305" s="53"/>
      <c r="AQ305" s="54"/>
      <c r="AR305" s="251"/>
      <c r="AS305" s="53"/>
      <c r="AT305" s="178"/>
      <c r="AU305" s="132"/>
      <c r="AV305" s="53"/>
      <c r="AW305" s="54"/>
      <c r="AX305" s="251"/>
      <c r="AY305" s="53"/>
      <c r="AZ305" s="178"/>
      <c r="BA305" s="132"/>
      <c r="BB305" s="53"/>
      <c r="BC305" s="54"/>
      <c r="BD305" s="251"/>
      <c r="BE305" s="53"/>
      <c r="BF305" s="178"/>
      <c r="BG305" s="178"/>
      <c r="BH305" s="178"/>
      <c r="BI305" s="178"/>
      <c r="BJ305" s="178"/>
    </row>
    <row r="306" spans="2:62" x14ac:dyDescent="0.4">
      <c r="C306" s="56" t="s">
        <v>17</v>
      </c>
      <c r="D306" s="246"/>
      <c r="E306" s="251"/>
      <c r="F306" s="53"/>
      <c r="G306" s="54"/>
      <c r="H306" s="262"/>
      <c r="I306" s="53"/>
      <c r="J306" s="54"/>
      <c r="K306" s="262"/>
      <c r="L306" s="53"/>
      <c r="M306" s="54"/>
      <c r="N306" s="262"/>
      <c r="O306" s="70"/>
      <c r="P306" s="54"/>
      <c r="Q306" s="247"/>
      <c r="R306" s="70"/>
      <c r="S306" s="54"/>
      <c r="T306" s="262"/>
      <c r="U306" s="70"/>
      <c r="V306" s="54"/>
      <c r="W306" s="262"/>
      <c r="X306" s="70"/>
      <c r="Y306" s="54"/>
      <c r="Z306" s="262"/>
      <c r="AA306" s="70"/>
      <c r="AB306" s="54"/>
      <c r="AC306" s="263">
        <v>0.79</v>
      </c>
      <c r="AD306" s="70">
        <f>+AC306*AD19*12</f>
        <v>507331.37596804963</v>
      </c>
      <c r="AE306" s="54"/>
      <c r="AF306" s="263">
        <f>AC306</f>
        <v>0.79</v>
      </c>
      <c r="AG306" s="70">
        <f>+AF306*AG19*12</f>
        <v>516973.00863432628</v>
      </c>
      <c r="AH306" s="178"/>
      <c r="AI306" s="264"/>
      <c r="AJ306" s="70"/>
      <c r="AK306" s="54"/>
      <c r="AL306" s="262"/>
      <c r="AM306" s="70"/>
      <c r="AN306" s="54"/>
      <c r="AO306" s="264"/>
      <c r="AP306" s="70"/>
      <c r="AQ306" s="54"/>
      <c r="AR306" s="262"/>
      <c r="AS306" s="70"/>
      <c r="AT306" s="178"/>
      <c r="AU306" s="265">
        <v>0.79</v>
      </c>
      <c r="AV306" s="70">
        <v>510145.77048220852</v>
      </c>
      <c r="AW306" s="54"/>
      <c r="AX306" s="263">
        <v>0.79</v>
      </c>
      <c r="AY306" s="70">
        <v>519328.64439773536</v>
      </c>
      <c r="AZ306" s="178"/>
      <c r="BA306" s="264"/>
      <c r="BB306" s="70"/>
      <c r="BC306" s="54"/>
      <c r="BD306" s="262">
        <f>BA306</f>
        <v>0</v>
      </c>
      <c r="BE306" s="70">
        <f>+BD306*BE19*12</f>
        <v>0</v>
      </c>
      <c r="BF306" s="178"/>
      <c r="BG306" s="178"/>
      <c r="BH306" s="178"/>
      <c r="BI306" s="178"/>
      <c r="BJ306" s="178"/>
    </row>
    <row r="307" spans="2:62" x14ac:dyDescent="0.4">
      <c r="C307" s="56" t="s">
        <v>18</v>
      </c>
      <c r="D307" s="246"/>
      <c r="E307" s="251"/>
      <c r="F307" s="53"/>
      <c r="G307" s="54"/>
      <c r="H307" s="262"/>
      <c r="I307" s="53"/>
      <c r="J307" s="54"/>
      <c r="K307" s="262"/>
      <c r="L307" s="53"/>
      <c r="M307" s="54"/>
      <c r="N307" s="262"/>
      <c r="O307" s="70"/>
      <c r="P307" s="54"/>
      <c r="Q307" s="247"/>
      <c r="R307" s="70"/>
      <c r="S307" s="54"/>
      <c r="T307" s="262"/>
      <c r="U307" s="70"/>
      <c r="V307" s="54"/>
      <c r="W307" s="262"/>
      <c r="X307" s="70"/>
      <c r="Y307" s="54"/>
      <c r="Z307" s="262"/>
      <c r="AA307" s="70"/>
      <c r="AB307" s="54"/>
      <c r="AC307" s="266">
        <f>AC306</f>
        <v>0.79</v>
      </c>
      <c r="AD307" s="70">
        <f>+AC307*AD20*12</f>
        <v>39835.111102255272</v>
      </c>
      <c r="AE307" s="54"/>
      <c r="AF307" s="266">
        <f>AF306</f>
        <v>0.79</v>
      </c>
      <c r="AG307" s="70">
        <f>+AF307*AG20*12</f>
        <v>40593.512008360522</v>
      </c>
      <c r="AH307" s="178"/>
      <c r="AI307" s="264"/>
      <c r="AJ307" s="70"/>
      <c r="AK307" s="54"/>
      <c r="AL307" s="262"/>
      <c r="AM307" s="70"/>
      <c r="AN307" s="54"/>
      <c r="AO307" s="264"/>
      <c r="AP307" s="70"/>
      <c r="AQ307" s="54"/>
      <c r="AR307" s="262"/>
      <c r="AS307" s="70"/>
      <c r="AT307" s="178"/>
      <c r="AU307" s="267">
        <v>0.79</v>
      </c>
      <c r="AV307" s="70">
        <v>40016.498650374888</v>
      </c>
      <c r="AW307" s="54"/>
      <c r="AX307" s="266">
        <v>0.79</v>
      </c>
      <c r="AY307" s="70">
        <v>40736.608338336948</v>
      </c>
      <c r="AZ307" s="178"/>
      <c r="BA307" s="264"/>
      <c r="BB307" s="70"/>
      <c r="BC307" s="54"/>
      <c r="BD307" s="262">
        <f>BD306</f>
        <v>0</v>
      </c>
      <c r="BE307" s="70">
        <f>+BD307*BE20*12</f>
        <v>0</v>
      </c>
      <c r="BF307" s="178"/>
      <c r="BG307" s="178"/>
      <c r="BH307" s="178"/>
      <c r="BI307" s="178"/>
      <c r="BJ307" s="178"/>
    </row>
    <row r="308" spans="2:62" x14ac:dyDescent="0.4">
      <c r="C308" s="56"/>
      <c r="D308" s="246"/>
      <c r="E308" s="251"/>
      <c r="F308" s="53"/>
      <c r="G308" s="54"/>
      <c r="H308" s="262"/>
      <c r="I308" s="53"/>
      <c r="J308" s="54"/>
      <c r="K308" s="262"/>
      <c r="L308" s="53"/>
      <c r="M308" s="54"/>
      <c r="N308" s="262"/>
      <c r="O308" s="70"/>
      <c r="P308" s="54"/>
      <c r="Q308" s="247"/>
      <c r="R308" s="70"/>
      <c r="S308" s="54"/>
      <c r="T308" s="262"/>
      <c r="U308" s="70"/>
      <c r="V308" s="54"/>
      <c r="W308" s="262"/>
      <c r="X308" s="70"/>
      <c r="Y308" s="54"/>
      <c r="Z308" s="262"/>
      <c r="AA308" s="70"/>
      <c r="AB308" s="54"/>
      <c r="AC308" s="266"/>
      <c r="AD308" s="70"/>
      <c r="AE308" s="54"/>
      <c r="AF308" s="266"/>
      <c r="AG308" s="70"/>
      <c r="AH308" s="178"/>
      <c r="AI308" s="264"/>
      <c r="AJ308" s="70"/>
      <c r="AK308" s="54"/>
      <c r="AL308" s="262"/>
      <c r="AM308" s="70"/>
      <c r="AN308" s="54"/>
      <c r="AO308" s="264"/>
      <c r="AP308" s="70"/>
      <c r="AQ308" s="54"/>
      <c r="AR308" s="262"/>
      <c r="AS308" s="70"/>
      <c r="AT308" s="178"/>
      <c r="AU308" s="267"/>
      <c r="AV308" s="70"/>
      <c r="AW308" s="54"/>
      <c r="AX308" s="266"/>
      <c r="AY308" s="70"/>
      <c r="AZ308" s="178"/>
      <c r="BA308" s="264"/>
      <c r="BB308" s="70"/>
      <c r="BC308" s="54"/>
      <c r="BD308" s="262"/>
      <c r="BE308" s="70"/>
      <c r="BF308" s="178"/>
      <c r="BG308" s="178"/>
      <c r="BH308" s="178"/>
      <c r="BI308" s="178"/>
      <c r="BJ308" s="178"/>
    </row>
    <row r="309" spans="2:62" ht="14.25" thickBot="1" x14ac:dyDescent="0.45">
      <c r="C309" s="64" t="s">
        <v>25</v>
      </c>
      <c r="D309" s="65"/>
      <c r="E309" s="251"/>
      <c r="F309" s="208">
        <f>SUM(F306:F308)</f>
        <v>0</v>
      </c>
      <c r="G309" s="54"/>
      <c r="H309" s="251"/>
      <c r="I309" s="53"/>
      <c r="J309" s="54"/>
      <c r="K309" s="251"/>
      <c r="L309" s="53"/>
      <c r="M309" s="54"/>
      <c r="N309" s="253"/>
      <c r="O309" s="208">
        <f>SUM(O306:O308)</f>
        <v>0</v>
      </c>
      <c r="P309" s="54"/>
      <c r="Q309" s="251"/>
      <c r="R309" s="208">
        <f>SUM(R306:R308)</f>
        <v>0</v>
      </c>
      <c r="S309" s="54"/>
      <c r="T309" s="251"/>
      <c r="U309" s="208">
        <f>SUM(U306:U308)</f>
        <v>0</v>
      </c>
      <c r="V309" s="54"/>
      <c r="W309" s="251"/>
      <c r="X309" s="208">
        <f>SUM(X306:X308)</f>
        <v>0</v>
      </c>
      <c r="Y309" s="54"/>
      <c r="Z309" s="251"/>
      <c r="AA309" s="208">
        <f>SUM(AA306:AA308)</f>
        <v>0</v>
      </c>
      <c r="AB309" s="54"/>
      <c r="AC309" s="251"/>
      <c r="AD309" s="208">
        <f>SUM(AD306:AD308)</f>
        <v>547166.48707030492</v>
      </c>
      <c r="AE309" s="54"/>
      <c r="AF309" s="251"/>
      <c r="AG309" s="208">
        <f>SUM(AG306:AG308)</f>
        <v>557566.52064268675</v>
      </c>
      <c r="AH309" s="178"/>
      <c r="AI309" s="132"/>
      <c r="AJ309" s="208">
        <f t="shared" ref="AJ309" si="385">AD309-AV309</f>
        <v>-2995.7820622784784</v>
      </c>
      <c r="AK309" s="54"/>
      <c r="AL309" s="251"/>
      <c r="AM309" s="208">
        <f t="shared" ref="AM309" si="386">AG309-AY309</f>
        <v>-2498.7320933855372</v>
      </c>
      <c r="AN309" s="54"/>
      <c r="AO309" s="132"/>
      <c r="AP309" s="208">
        <f>AD309-BB309</f>
        <v>67345.487070304924</v>
      </c>
      <c r="AQ309" s="54"/>
      <c r="AR309" s="251"/>
      <c r="AS309" s="208">
        <f>AG309-BE309</f>
        <v>557566.52064268675</v>
      </c>
      <c r="AT309" s="178"/>
      <c r="AU309" s="132"/>
      <c r="AV309" s="208">
        <v>550162.2691325834</v>
      </c>
      <c r="AW309" s="54"/>
      <c r="AX309" s="251"/>
      <c r="AY309" s="208">
        <v>560065.25273607229</v>
      </c>
      <c r="AZ309" s="178"/>
      <c r="BA309" s="132"/>
      <c r="BB309" s="208">
        <v>479821</v>
      </c>
      <c r="BC309" s="54"/>
      <c r="BD309" s="251"/>
      <c r="BE309" s="208">
        <f>SUM(BE306:BE308)</f>
        <v>0</v>
      </c>
      <c r="BF309" s="178"/>
      <c r="BG309" s="178"/>
      <c r="BH309" s="178"/>
      <c r="BI309" s="178"/>
      <c r="BJ309" s="178"/>
    </row>
    <row r="310" spans="2:62" ht="14.25" thickTop="1" x14ac:dyDescent="0.4">
      <c r="C310" s="217"/>
      <c r="D310" s="218"/>
      <c r="E310" s="251"/>
      <c r="F310" s="53"/>
      <c r="G310" s="54"/>
      <c r="H310" s="251"/>
      <c r="I310" s="53"/>
      <c r="J310" s="54"/>
      <c r="K310" s="251"/>
      <c r="L310" s="53"/>
      <c r="M310" s="54"/>
      <c r="N310" s="143"/>
      <c r="O310" s="53"/>
      <c r="P310" s="54"/>
      <c r="Q310" s="251"/>
      <c r="R310" s="53"/>
      <c r="S310" s="54"/>
      <c r="T310" s="251"/>
      <c r="U310" s="53"/>
      <c r="V310" s="54"/>
      <c r="W310" s="251"/>
      <c r="X310" s="53"/>
      <c r="Y310" s="54"/>
      <c r="Z310" s="251"/>
      <c r="AA310" s="53"/>
      <c r="AB310" s="54"/>
      <c r="AC310" s="251"/>
      <c r="AD310" s="53"/>
      <c r="AE310" s="54"/>
      <c r="AF310" s="251"/>
      <c r="AG310" s="53"/>
      <c r="AH310" s="178"/>
      <c r="AI310" s="132"/>
      <c r="AJ310" s="53"/>
      <c r="AK310" s="54"/>
      <c r="AL310" s="251"/>
      <c r="AM310" s="53"/>
      <c r="AN310" s="54"/>
      <c r="AO310" s="132"/>
      <c r="AP310" s="53"/>
      <c r="AQ310" s="54"/>
      <c r="AR310" s="251"/>
      <c r="AS310" s="53"/>
      <c r="AT310" s="178"/>
      <c r="AU310" s="132"/>
      <c r="AV310" s="53"/>
      <c r="AW310" s="54"/>
      <c r="AX310" s="251"/>
      <c r="AY310" s="53"/>
      <c r="AZ310" s="178"/>
      <c r="BA310" s="132"/>
      <c r="BB310" s="53"/>
      <c r="BC310" s="54"/>
      <c r="BD310" s="251"/>
      <c r="BE310" s="53"/>
      <c r="BF310" s="178"/>
      <c r="BG310" s="178"/>
      <c r="BH310" s="178"/>
      <c r="BI310" s="178"/>
      <c r="BJ310" s="178"/>
    </row>
    <row r="311" spans="2:62" x14ac:dyDescent="0.4">
      <c r="C311" s="39"/>
      <c r="D311" s="39"/>
      <c r="E311" s="251"/>
      <c r="F311" s="53"/>
      <c r="G311" s="54"/>
      <c r="H311" s="251"/>
      <c r="I311" s="53"/>
      <c r="J311" s="54"/>
      <c r="K311" s="251"/>
      <c r="L311" s="53"/>
      <c r="M311" s="54"/>
      <c r="N311" s="251"/>
      <c r="O311" s="53"/>
      <c r="P311" s="54"/>
      <c r="Q311" s="251"/>
      <c r="R311" s="53"/>
      <c r="S311" s="54"/>
      <c r="T311" s="251"/>
      <c r="U311" s="53"/>
      <c r="V311" s="54"/>
      <c r="W311" s="251"/>
      <c r="X311" s="53"/>
      <c r="Y311" s="54"/>
      <c r="Z311" s="251"/>
      <c r="AA311" s="53"/>
      <c r="AB311" s="54"/>
      <c r="AC311" s="251"/>
      <c r="AD311" s="53"/>
      <c r="AE311" s="54"/>
      <c r="AF311" s="251"/>
      <c r="AG311" s="53"/>
      <c r="AH311" s="178"/>
      <c r="AI311" s="132"/>
      <c r="AJ311" s="53"/>
      <c r="AK311" s="54"/>
      <c r="AL311" s="251"/>
      <c r="AM311" s="53"/>
      <c r="AN311" s="54"/>
      <c r="AO311" s="132"/>
      <c r="AP311" s="53"/>
      <c r="AQ311" s="54"/>
      <c r="AR311" s="251"/>
      <c r="AS311" s="53"/>
      <c r="AT311" s="178"/>
      <c r="AU311" s="132"/>
      <c r="AV311" s="53"/>
      <c r="AW311" s="54"/>
      <c r="AX311" s="251"/>
      <c r="AY311" s="53"/>
      <c r="AZ311" s="178"/>
      <c r="BA311" s="132"/>
      <c r="BB311" s="53"/>
      <c r="BC311" s="54"/>
      <c r="BD311" s="251"/>
      <c r="BE311" s="53"/>
      <c r="BF311" s="178"/>
      <c r="BG311" s="178"/>
      <c r="BH311" s="178"/>
      <c r="BI311" s="178"/>
      <c r="BJ311" s="178"/>
    </row>
    <row r="312" spans="2:62" x14ac:dyDescent="0.4">
      <c r="B312" s="2" t="s">
        <v>104</v>
      </c>
      <c r="C312" s="226"/>
      <c r="D312" s="227"/>
      <c r="E312" s="251"/>
      <c r="F312" s="53"/>
      <c r="G312" s="54"/>
      <c r="H312" s="251"/>
      <c r="I312" s="53"/>
      <c r="J312" s="54"/>
      <c r="K312" s="251"/>
      <c r="L312" s="53"/>
      <c r="M312" s="54"/>
      <c r="N312" s="251"/>
      <c r="O312" s="53"/>
      <c r="P312" s="54"/>
      <c r="Q312" s="270"/>
      <c r="R312" s="53"/>
      <c r="S312" s="54"/>
      <c r="T312" s="251"/>
      <c r="U312" s="53"/>
      <c r="V312" s="54"/>
      <c r="W312" s="251"/>
      <c r="X312" s="53"/>
      <c r="Y312" s="54"/>
      <c r="Z312" s="251"/>
      <c r="AA312" s="53"/>
      <c r="AB312" s="54"/>
      <c r="AC312" s="251"/>
      <c r="AD312" s="53"/>
      <c r="AE312" s="54"/>
      <c r="AF312" s="251"/>
      <c r="AG312" s="53"/>
      <c r="AH312" s="178"/>
      <c r="AI312" s="132"/>
      <c r="AJ312" s="53"/>
      <c r="AK312" s="54"/>
      <c r="AL312" s="251"/>
      <c r="AM312" s="53"/>
      <c r="AN312" s="54"/>
      <c r="AO312" s="132"/>
      <c r="AP312" s="53"/>
      <c r="AQ312" s="54"/>
      <c r="AR312" s="251"/>
      <c r="AS312" s="53"/>
      <c r="AT312" s="178"/>
      <c r="AU312" s="132"/>
      <c r="AV312" s="53"/>
      <c r="AW312" s="54"/>
      <c r="AX312" s="251"/>
      <c r="AY312" s="53"/>
      <c r="AZ312" s="178"/>
      <c r="BA312" s="132"/>
      <c r="BB312" s="53"/>
      <c r="BC312" s="54"/>
      <c r="BD312" s="251"/>
      <c r="BE312" s="53"/>
      <c r="BF312" s="178"/>
      <c r="BG312" s="178"/>
      <c r="BH312" s="178"/>
      <c r="BI312" s="178"/>
      <c r="BJ312" s="178"/>
    </row>
    <row r="313" spans="2:62" x14ac:dyDescent="0.4">
      <c r="C313" s="56" t="s">
        <v>17</v>
      </c>
      <c r="D313" s="246"/>
      <c r="E313" s="266"/>
      <c r="F313" s="70"/>
      <c r="G313" s="72"/>
      <c r="H313" s="266"/>
      <c r="I313" s="53"/>
      <c r="J313" s="72"/>
      <c r="K313" s="266"/>
      <c r="L313" s="53"/>
      <c r="M313" s="72"/>
      <c r="N313" s="266"/>
      <c r="O313" s="70">
        <f>SUM(O294,O283,O272,O261,O250,O239,O228)*-0.1</f>
        <v>-5433533.1853016708</v>
      </c>
      <c r="P313" s="72"/>
      <c r="Q313" s="266"/>
      <c r="R313" s="70">
        <f>SUM(R294,R283,R272,R261,R250,R239,R228)*-0.1</f>
        <v>-5434570.0470735431</v>
      </c>
      <c r="S313" s="72"/>
      <c r="T313" s="266"/>
      <c r="U313" s="70">
        <f>SUM(U294,U283,U272,U261,U250,U239,U228)*-0.1</f>
        <v>-5834988.6045925068</v>
      </c>
      <c r="V313" s="72"/>
      <c r="W313" s="266"/>
      <c r="X313" s="70">
        <f>SUM(X294,X283,X272,X261,X250,X239,X228)*-0.1</f>
        <v>-5871669.7282667309</v>
      </c>
      <c r="Y313" s="72"/>
      <c r="Z313" s="266"/>
      <c r="AA313" s="70">
        <f>SUM(AA294,AA283,AA272,AA261,AA250,AA239,AA228)*-0.1</f>
        <v>-5882625.3588311449</v>
      </c>
      <c r="AB313" s="72"/>
      <c r="AC313" s="266"/>
      <c r="AD313" s="70"/>
      <c r="AE313" s="72"/>
      <c r="AF313" s="266"/>
      <c r="AG313" s="70"/>
      <c r="AH313" s="178"/>
      <c r="AI313" s="267"/>
      <c r="AJ313" s="70">
        <f t="shared" ref="AJ313:AJ315" si="387">AD313-AV313</f>
        <v>0</v>
      </c>
      <c r="AK313" s="72"/>
      <c r="AL313" s="266"/>
      <c r="AM313" s="70">
        <f t="shared" ref="AM313:AM315" si="388">AG313-AY313</f>
        <v>0</v>
      </c>
      <c r="AN313" s="72"/>
      <c r="AO313" s="267"/>
      <c r="AP313" s="70">
        <f>AD313-BB313</f>
        <v>5965649.65442371</v>
      </c>
      <c r="AQ313" s="72"/>
      <c r="AR313" s="266"/>
      <c r="AS313" s="70">
        <f>AG313-BE313</f>
        <v>6056143.3060093988</v>
      </c>
      <c r="AT313" s="178"/>
      <c r="AU313" s="267"/>
      <c r="AV313" s="70"/>
      <c r="AW313" s="72"/>
      <c r="AX313" s="266"/>
      <c r="AY313" s="70"/>
      <c r="AZ313" s="178"/>
      <c r="BA313" s="267"/>
      <c r="BB313" s="70">
        <v>-5965649.65442371</v>
      </c>
      <c r="BC313" s="72"/>
      <c r="BD313" s="266"/>
      <c r="BE313" s="70">
        <v>-6056143.3060093988</v>
      </c>
      <c r="BF313" s="178"/>
      <c r="BG313" s="178"/>
      <c r="BH313" s="178"/>
      <c r="BI313" s="178"/>
      <c r="BJ313" s="178"/>
    </row>
    <row r="314" spans="2:62" x14ac:dyDescent="0.4">
      <c r="C314" s="56" t="s">
        <v>18</v>
      </c>
      <c r="D314" s="246"/>
      <c r="E314" s="266"/>
      <c r="F314" s="70"/>
      <c r="G314" s="72"/>
      <c r="H314" s="266"/>
      <c r="I314" s="53"/>
      <c r="J314" s="72"/>
      <c r="K314" s="266"/>
      <c r="L314" s="53"/>
      <c r="M314" s="72"/>
      <c r="N314" s="266"/>
      <c r="O314" s="70">
        <f>SUM(O295,O284,O273,O262,O251,O240,O229)*-0.1</f>
        <v>-1505553.1768833615</v>
      </c>
      <c r="P314" s="72"/>
      <c r="Q314" s="266"/>
      <c r="R314" s="70">
        <f>SUM(R295,R284,R273,R262,R251,R240,R229)*-0.1</f>
        <v>-1484408.1619942877</v>
      </c>
      <c r="S314" s="72"/>
      <c r="T314" s="266"/>
      <c r="U314" s="70">
        <f>SUM(U295,U284,U273,U262,U251,U240,U229)*-0.1</f>
        <v>-1586618.3675490865</v>
      </c>
      <c r="V314" s="72"/>
      <c r="W314" s="266"/>
      <c r="X314" s="70">
        <f>SUM(X295,X284,X273,X262,X251,X240,X229)*-0.1</f>
        <v>-1595970.4967515871</v>
      </c>
      <c r="Y314" s="72"/>
      <c r="Z314" s="266"/>
      <c r="AA314" s="70">
        <f>SUM(AA295,AA284,AA273,AA262,AA251,AA240,AA229)*-0.1</f>
        <v>-1598446.9249292267</v>
      </c>
      <c r="AB314" s="72"/>
      <c r="AC314" s="266"/>
      <c r="AD314" s="70"/>
      <c r="AE314" s="72"/>
      <c r="AF314" s="266"/>
      <c r="AG314" s="70"/>
      <c r="AH314" s="178"/>
      <c r="AI314" s="267"/>
      <c r="AJ314" s="70">
        <f t="shared" si="387"/>
        <v>0</v>
      </c>
      <c r="AK314" s="72"/>
      <c r="AL314" s="266"/>
      <c r="AM314" s="70">
        <f t="shared" si="388"/>
        <v>0</v>
      </c>
      <c r="AN314" s="72"/>
      <c r="AO314" s="267"/>
      <c r="AP314" s="70">
        <f>AD314-BB314</f>
        <v>1620789.5062764641</v>
      </c>
      <c r="AQ314" s="72"/>
      <c r="AR314" s="266"/>
      <c r="AS314" s="70">
        <f>AG314-BE314</f>
        <v>1645509.3236829629</v>
      </c>
      <c r="AT314" s="178"/>
      <c r="AU314" s="267"/>
      <c r="AV314" s="70"/>
      <c r="AW314" s="72"/>
      <c r="AX314" s="266"/>
      <c r="AY314" s="70"/>
      <c r="AZ314" s="178"/>
      <c r="BA314" s="267"/>
      <c r="BB314" s="70">
        <v>-1620789.5062764641</v>
      </c>
      <c r="BC314" s="72"/>
      <c r="BD314" s="266"/>
      <c r="BE314" s="70">
        <v>-1645509.3236829629</v>
      </c>
      <c r="BF314" s="178"/>
      <c r="BG314" s="178"/>
      <c r="BH314" s="178"/>
      <c r="BI314" s="178"/>
      <c r="BJ314" s="178"/>
    </row>
    <row r="315" spans="2:62" x14ac:dyDescent="0.4">
      <c r="C315" s="56" t="s">
        <v>19</v>
      </c>
      <c r="D315" s="246"/>
      <c r="E315" s="266"/>
      <c r="F315" s="70"/>
      <c r="G315" s="72"/>
      <c r="H315" s="266"/>
      <c r="I315" s="53"/>
      <c r="J315" s="72"/>
      <c r="K315" s="266"/>
      <c r="L315" s="53"/>
      <c r="M315" s="72"/>
      <c r="N315" s="266"/>
      <c r="O315" s="70">
        <f>SUM(O296,O285,O274,O263,O252,O241,O230)*-0.1</f>
        <v>-3916740.6114137606</v>
      </c>
      <c r="P315" s="72"/>
      <c r="Q315" s="266"/>
      <c r="R315" s="70">
        <f>SUM(R296,R285,R274,R263,R252,R241,R230)*-0.1</f>
        <v>-3740074.8589275442</v>
      </c>
      <c r="S315" s="72"/>
      <c r="T315" s="266"/>
      <c r="U315" s="70">
        <f>SUM(U296,U285,U274,U263,U252,U241,U230)*-0.1</f>
        <v>-4005572.9023549543</v>
      </c>
      <c r="V315" s="72"/>
      <c r="W315" s="266"/>
      <c r="X315" s="70">
        <f>SUM(X296,X285,X274,X263,X252,X241,X230)*-0.1</f>
        <v>-4045275.4745315881</v>
      </c>
      <c r="Y315" s="72"/>
      <c r="Z315" s="266"/>
      <c r="AA315" s="70">
        <f>SUM(AA296,AA285,AA274,AA263,AA252,AA241,AA230)*-0.1</f>
        <v>-4069469.6034543575</v>
      </c>
      <c r="AB315" s="72"/>
      <c r="AC315" s="266"/>
      <c r="AD315" s="70"/>
      <c r="AE315" s="72"/>
      <c r="AF315" s="266"/>
      <c r="AG315" s="70"/>
      <c r="AH315" s="178"/>
      <c r="AI315" s="267"/>
      <c r="AJ315" s="70">
        <f t="shared" si="387"/>
        <v>0</v>
      </c>
      <c r="AK315" s="72"/>
      <c r="AL315" s="266"/>
      <c r="AM315" s="70">
        <f t="shared" si="388"/>
        <v>0</v>
      </c>
      <c r="AN315" s="72"/>
      <c r="AO315" s="267"/>
      <c r="AP315" s="70">
        <f>AD315-BB315</f>
        <v>4145468.3813008168</v>
      </c>
      <c r="AQ315" s="72"/>
      <c r="AR315" s="266"/>
      <c r="AS315" s="70">
        <f>AG315-BE315</f>
        <v>4227395.0055893287</v>
      </c>
      <c r="AT315" s="178"/>
      <c r="AU315" s="267"/>
      <c r="AV315" s="70"/>
      <c r="AW315" s="72"/>
      <c r="AX315" s="266"/>
      <c r="AY315" s="70"/>
      <c r="AZ315" s="178"/>
      <c r="BA315" s="267"/>
      <c r="BB315" s="70">
        <v>-4145468.3813008168</v>
      </c>
      <c r="BC315" s="72"/>
      <c r="BD315" s="266"/>
      <c r="BE315" s="70">
        <v>-4227395.0055893287</v>
      </c>
      <c r="BF315" s="178"/>
      <c r="BG315" s="178"/>
      <c r="BH315" s="178"/>
      <c r="BI315" s="178"/>
      <c r="BJ315" s="178"/>
    </row>
    <row r="316" spans="2:62" x14ac:dyDescent="0.4">
      <c r="C316" s="56"/>
      <c r="D316" s="246"/>
      <c r="E316" s="266"/>
      <c r="F316" s="70"/>
      <c r="G316" s="72"/>
      <c r="H316" s="266"/>
      <c r="I316" s="53"/>
      <c r="J316" s="72"/>
      <c r="K316" s="266"/>
      <c r="L316" s="53"/>
      <c r="M316" s="72"/>
      <c r="N316" s="266"/>
      <c r="O316" s="70"/>
      <c r="P316" s="72"/>
      <c r="Q316" s="266"/>
      <c r="R316" s="70"/>
      <c r="S316" s="72"/>
      <c r="T316" s="266"/>
      <c r="U316" s="70"/>
      <c r="V316" s="72"/>
      <c r="W316" s="266"/>
      <c r="X316" s="70"/>
      <c r="Y316" s="72"/>
      <c r="Z316" s="266"/>
      <c r="AA316" s="70"/>
      <c r="AB316" s="72"/>
      <c r="AC316" s="266"/>
      <c r="AD316" s="70"/>
      <c r="AE316" s="72"/>
      <c r="AF316" s="266"/>
      <c r="AG316" s="70"/>
      <c r="AH316" s="178"/>
      <c r="AI316" s="267"/>
      <c r="AJ316" s="70"/>
      <c r="AK316" s="72"/>
      <c r="AL316" s="266"/>
      <c r="AM316" s="70"/>
      <c r="AN316" s="72"/>
      <c r="AO316" s="267"/>
      <c r="AP316" s="70"/>
      <c r="AQ316" s="72"/>
      <c r="AR316" s="266"/>
      <c r="AS316" s="70"/>
      <c r="AT316" s="178"/>
      <c r="AU316" s="267"/>
      <c r="AV316" s="70"/>
      <c r="AW316" s="72"/>
      <c r="AX316" s="266"/>
      <c r="AY316" s="70"/>
      <c r="AZ316" s="178"/>
      <c r="BA316" s="267"/>
      <c r="BB316" s="70"/>
      <c r="BC316" s="72"/>
      <c r="BD316" s="266"/>
      <c r="BE316" s="70"/>
      <c r="BF316" s="178"/>
      <c r="BG316" s="178"/>
      <c r="BH316" s="178"/>
      <c r="BI316" s="178"/>
      <c r="BJ316" s="178"/>
    </row>
    <row r="317" spans="2:62" x14ac:dyDescent="0.4">
      <c r="B317" s="2" t="s">
        <v>105</v>
      </c>
      <c r="C317" s="56"/>
      <c r="D317" s="246"/>
      <c r="E317" s="266"/>
      <c r="F317" s="271">
        <v>0.25</v>
      </c>
      <c r="G317" s="72"/>
      <c r="H317" s="266"/>
      <c r="I317" s="53"/>
      <c r="J317" s="72"/>
      <c r="K317" s="266"/>
      <c r="L317" s="53"/>
      <c r="M317" s="72"/>
      <c r="N317" s="266"/>
      <c r="O317" s="70"/>
      <c r="P317" s="72"/>
      <c r="Q317" s="266"/>
      <c r="R317" s="70"/>
      <c r="S317" s="72"/>
      <c r="T317" s="266"/>
      <c r="U317" s="70"/>
      <c r="V317" s="72"/>
      <c r="W317" s="266"/>
      <c r="X317" s="70"/>
      <c r="Y317" s="72"/>
      <c r="Z317" s="266"/>
      <c r="AA317" s="70"/>
      <c r="AB317" s="72"/>
      <c r="AC317" s="266"/>
      <c r="AD317" s="70"/>
      <c r="AE317" s="72"/>
      <c r="AF317" s="266"/>
      <c r="AG317" s="70"/>
      <c r="AH317" s="178"/>
      <c r="AI317" s="267"/>
      <c r="AJ317" s="70"/>
      <c r="AK317" s="72"/>
      <c r="AL317" s="266"/>
      <c r="AM317" s="70"/>
      <c r="AN317" s="72"/>
      <c r="AO317" s="267"/>
      <c r="AP317" s="70"/>
      <c r="AQ317" s="72"/>
      <c r="AR317" s="266"/>
      <c r="AS317" s="70"/>
      <c r="AT317" s="178"/>
      <c r="AU317" s="267"/>
      <c r="AV317" s="70"/>
      <c r="AW317" s="72"/>
      <c r="AX317" s="266"/>
      <c r="AY317" s="70"/>
      <c r="AZ317" s="178"/>
      <c r="BA317" s="267"/>
      <c r="BB317" s="70"/>
      <c r="BC317" s="72"/>
      <c r="BD317" s="266"/>
      <c r="BE317" s="70"/>
      <c r="BF317" s="178"/>
      <c r="BG317" s="178"/>
      <c r="BH317" s="178"/>
      <c r="BI317" s="178"/>
      <c r="BJ317" s="178"/>
    </row>
    <row r="318" spans="2:62" x14ac:dyDescent="0.4">
      <c r="C318" s="56" t="s">
        <v>17</v>
      </c>
      <c r="D318" s="246"/>
      <c r="E318" s="266"/>
      <c r="F318" s="272">
        <f>$F$317</f>
        <v>0.25</v>
      </c>
      <c r="G318" s="72"/>
      <c r="H318" s="266"/>
      <c r="I318" s="53"/>
      <c r="J318" s="72"/>
      <c r="K318" s="266"/>
      <c r="L318" s="53"/>
      <c r="M318" s="72"/>
      <c r="N318" s="266"/>
      <c r="O318" s="70"/>
      <c r="P318" s="72"/>
      <c r="Q318" s="266"/>
      <c r="R318" s="70"/>
      <c r="S318" s="72"/>
      <c r="T318" s="266"/>
      <c r="U318" s="70"/>
      <c r="V318" s="72"/>
      <c r="W318" s="266"/>
      <c r="X318" s="70"/>
      <c r="Y318" s="72"/>
      <c r="Z318" s="266"/>
      <c r="AA318" s="70"/>
      <c r="AB318" s="72"/>
      <c r="AC318" s="266"/>
      <c r="AD318" s="70"/>
      <c r="AE318" s="72"/>
      <c r="AF318" s="266"/>
      <c r="AG318" s="70"/>
      <c r="AH318" s="178"/>
      <c r="AI318" s="267"/>
      <c r="AJ318" s="70">
        <f t="shared" ref="AJ318:AJ346" si="389">AD318-AV318</f>
        <v>11965989.304602658</v>
      </c>
      <c r="AK318" s="72"/>
      <c r="AL318" s="266"/>
      <c r="AM318" s="70">
        <f t="shared" ref="AM318:AM346" si="390">AG318-AY318</f>
        <v>12168093.997533098</v>
      </c>
      <c r="AN318" s="72"/>
      <c r="AO318" s="267"/>
      <c r="AP318" s="70">
        <f t="shared" ref="AP318:AP346" si="391">AD318-BB318</f>
        <v>0</v>
      </c>
      <c r="AQ318" s="72"/>
      <c r="AR318" s="266"/>
      <c r="AS318" s="70">
        <f t="shared" ref="AS318:AS346" si="392">AG318-BE318</f>
        <v>0</v>
      </c>
      <c r="AT318" s="178"/>
      <c r="AU318" s="267"/>
      <c r="AV318" s="70">
        <v>-11965989.304602658</v>
      </c>
      <c r="AW318" s="72"/>
      <c r="AX318" s="266"/>
      <c r="AY318" s="70">
        <v>-12168093.997533098</v>
      </c>
      <c r="AZ318" s="178"/>
      <c r="BA318" s="267"/>
      <c r="BB318" s="70"/>
      <c r="BC318" s="72"/>
      <c r="BD318" s="266"/>
      <c r="BE318" s="70"/>
      <c r="BF318" s="178"/>
      <c r="BG318" s="178"/>
      <c r="BH318" s="178"/>
      <c r="BI318" s="178"/>
      <c r="BJ318" s="178"/>
    </row>
    <row r="319" spans="2:62" x14ac:dyDescent="0.4">
      <c r="C319" s="56" t="s">
        <v>18</v>
      </c>
      <c r="D319" s="246"/>
      <c r="E319" s="266"/>
      <c r="F319" s="272">
        <f>$F$317</f>
        <v>0.25</v>
      </c>
      <c r="G319" s="72"/>
      <c r="H319" s="266"/>
      <c r="I319" s="53"/>
      <c r="J319" s="72"/>
      <c r="K319" s="266"/>
      <c r="L319" s="53"/>
      <c r="M319" s="72"/>
      <c r="N319" s="266"/>
      <c r="O319" s="70"/>
      <c r="P319" s="72"/>
      <c r="Q319" s="266"/>
      <c r="R319" s="70"/>
      <c r="S319" s="72"/>
      <c r="T319" s="266"/>
      <c r="U319" s="70"/>
      <c r="V319" s="72"/>
      <c r="W319" s="266"/>
      <c r="X319" s="70"/>
      <c r="Y319" s="72"/>
      <c r="Z319" s="266"/>
      <c r="AA319" s="70"/>
      <c r="AB319" s="72"/>
      <c r="AC319" s="266"/>
      <c r="AD319" s="70"/>
      <c r="AE319" s="72"/>
      <c r="AF319" s="266"/>
      <c r="AG319" s="70"/>
      <c r="AH319" s="178"/>
      <c r="AI319" s="267"/>
      <c r="AJ319" s="70">
        <f t="shared" si="389"/>
        <v>3179771.1527042589</v>
      </c>
      <c r="AK319" s="72"/>
      <c r="AL319" s="266"/>
      <c r="AM319" s="70">
        <f t="shared" si="390"/>
        <v>3229101.3282277449</v>
      </c>
      <c r="AN319" s="72"/>
      <c r="AO319" s="267"/>
      <c r="AP319" s="70">
        <f t="shared" si="391"/>
        <v>0</v>
      </c>
      <c r="AQ319" s="72"/>
      <c r="AR319" s="266"/>
      <c r="AS319" s="70">
        <f t="shared" si="392"/>
        <v>0</v>
      </c>
      <c r="AT319" s="178"/>
      <c r="AU319" s="267"/>
      <c r="AV319" s="70">
        <v>-3179771.1527042589</v>
      </c>
      <c r="AW319" s="72"/>
      <c r="AX319" s="266"/>
      <c r="AY319" s="70">
        <v>-3229101.3282277449</v>
      </c>
      <c r="AZ319" s="178"/>
      <c r="BA319" s="267"/>
      <c r="BB319" s="70"/>
      <c r="BC319" s="72"/>
      <c r="BD319" s="266"/>
      <c r="BE319" s="70"/>
      <c r="BF319" s="178"/>
      <c r="BG319" s="178"/>
      <c r="BH319" s="178"/>
      <c r="BI319" s="178"/>
      <c r="BJ319" s="178"/>
    </row>
    <row r="320" spans="2:62" x14ac:dyDescent="0.4">
      <c r="C320" s="56"/>
      <c r="D320" s="246"/>
      <c r="E320" s="266"/>
      <c r="F320" s="70"/>
      <c r="G320" s="72"/>
      <c r="H320" s="266"/>
      <c r="I320" s="53"/>
      <c r="J320" s="72"/>
      <c r="K320" s="266"/>
      <c r="L320" s="53"/>
      <c r="M320" s="72"/>
      <c r="N320" s="266"/>
      <c r="O320" s="70"/>
      <c r="P320" s="72"/>
      <c r="Q320" s="266"/>
      <c r="R320" s="70"/>
      <c r="S320" s="72"/>
      <c r="T320" s="266"/>
      <c r="U320" s="70"/>
      <c r="V320" s="72"/>
      <c r="W320" s="266"/>
      <c r="X320" s="70"/>
      <c r="Y320" s="72"/>
      <c r="Z320" s="266"/>
      <c r="AA320" s="70"/>
      <c r="AB320" s="72"/>
      <c r="AC320" s="266"/>
      <c r="AD320" s="70"/>
      <c r="AE320" s="72"/>
      <c r="AF320" s="266"/>
      <c r="AG320" s="70"/>
      <c r="AH320" s="178"/>
      <c r="AI320" s="267"/>
      <c r="AJ320" s="70">
        <f t="shared" si="389"/>
        <v>0</v>
      </c>
      <c r="AK320" s="72"/>
      <c r="AL320" s="266"/>
      <c r="AM320" s="70">
        <f t="shared" si="390"/>
        <v>0</v>
      </c>
      <c r="AN320" s="72"/>
      <c r="AO320" s="267"/>
      <c r="AP320" s="70">
        <f t="shared" si="391"/>
        <v>0</v>
      </c>
      <c r="AQ320" s="72"/>
      <c r="AR320" s="266"/>
      <c r="AS320" s="70">
        <f t="shared" si="392"/>
        <v>0</v>
      </c>
      <c r="AT320" s="178"/>
      <c r="AU320" s="267"/>
      <c r="AV320" s="70"/>
      <c r="AW320" s="72"/>
      <c r="AX320" s="266"/>
      <c r="AY320" s="70"/>
      <c r="AZ320" s="178"/>
      <c r="BA320" s="267"/>
      <c r="BB320" s="70"/>
      <c r="BC320" s="72"/>
      <c r="BD320" s="266"/>
      <c r="BE320" s="70"/>
      <c r="BF320" s="178"/>
      <c r="BG320" s="178"/>
      <c r="BH320" s="178"/>
      <c r="BI320" s="178"/>
      <c r="BJ320" s="178"/>
    </row>
    <row r="321" spans="2:62" x14ac:dyDescent="0.4">
      <c r="B321" s="2" t="s">
        <v>106</v>
      </c>
      <c r="C321" s="56"/>
      <c r="D321" s="246"/>
      <c r="E321" s="266"/>
      <c r="F321" s="70"/>
      <c r="G321" s="72"/>
      <c r="H321" s="266"/>
      <c r="I321" s="53"/>
      <c r="J321" s="72"/>
      <c r="K321" s="266"/>
      <c r="L321" s="53"/>
      <c r="M321" s="72"/>
      <c r="N321" s="266"/>
      <c r="O321" s="70"/>
      <c r="P321" s="72"/>
      <c r="Q321" s="266"/>
      <c r="R321" s="70"/>
      <c r="S321" s="72"/>
      <c r="T321" s="266"/>
      <c r="U321" s="70"/>
      <c r="V321" s="72"/>
      <c r="W321" s="266"/>
      <c r="X321" s="70"/>
      <c r="Y321" s="72"/>
      <c r="Z321" s="266"/>
      <c r="AA321" s="70"/>
      <c r="AB321" s="72"/>
      <c r="AC321" s="266"/>
      <c r="AD321" s="70"/>
      <c r="AE321" s="72"/>
      <c r="AF321" s="266"/>
      <c r="AG321" s="70"/>
      <c r="AH321" s="178"/>
      <c r="AI321" s="267"/>
      <c r="AJ321" s="70">
        <f t="shared" si="389"/>
        <v>0</v>
      </c>
      <c r="AK321" s="72"/>
      <c r="AL321" s="266"/>
      <c r="AM321" s="70">
        <f t="shared" si="390"/>
        <v>0</v>
      </c>
      <c r="AN321" s="72"/>
      <c r="AO321" s="267"/>
      <c r="AP321" s="70">
        <f t="shared" si="391"/>
        <v>0</v>
      </c>
      <c r="AQ321" s="72"/>
      <c r="AR321" s="266"/>
      <c r="AS321" s="70">
        <f t="shared" si="392"/>
        <v>0</v>
      </c>
      <c r="AT321" s="178"/>
      <c r="AU321" s="267"/>
      <c r="AV321" s="70"/>
      <c r="AW321" s="72"/>
      <c r="AX321" s="266"/>
      <c r="AY321" s="70"/>
      <c r="AZ321" s="178"/>
      <c r="BA321" s="267"/>
      <c r="BB321" s="70"/>
      <c r="BC321" s="72"/>
      <c r="BD321" s="266"/>
      <c r="BE321" s="70"/>
      <c r="BF321" s="178"/>
      <c r="BG321" s="178"/>
      <c r="BH321" s="178"/>
      <c r="BI321" s="178"/>
      <c r="BJ321" s="178"/>
    </row>
    <row r="322" spans="2:62" x14ac:dyDescent="0.4">
      <c r="C322" s="56" t="s">
        <v>17</v>
      </c>
      <c r="D322" s="246"/>
      <c r="E322" s="266"/>
      <c r="F322" s="272">
        <f t="shared" ref="F322:F329" si="393">$F$317</f>
        <v>0.25</v>
      </c>
      <c r="G322" s="72"/>
      <c r="H322" s="266"/>
      <c r="I322" s="53"/>
      <c r="J322" s="72"/>
      <c r="K322" s="266"/>
      <c r="L322" s="53"/>
      <c r="M322" s="72"/>
      <c r="N322" s="266"/>
      <c r="O322" s="70"/>
      <c r="P322" s="72"/>
      <c r="Q322" s="266"/>
      <c r="R322" s="70"/>
      <c r="S322" s="72"/>
      <c r="T322" s="266"/>
      <c r="U322" s="70"/>
      <c r="V322" s="72"/>
      <c r="W322" s="266"/>
      <c r="X322" s="70"/>
      <c r="Y322" s="72"/>
      <c r="Z322" s="266"/>
      <c r="AA322" s="70"/>
      <c r="AB322" s="72"/>
      <c r="AC322" s="266"/>
      <c r="AD322" s="70"/>
      <c r="AE322" s="72"/>
      <c r="AF322" s="266"/>
      <c r="AG322" s="70"/>
      <c r="AH322" s="178"/>
      <c r="AI322" s="267"/>
      <c r="AJ322" s="70">
        <f t="shared" si="389"/>
        <v>467970.84619742329</v>
      </c>
      <c r="AK322" s="72"/>
      <c r="AL322" s="266"/>
      <c r="AM322" s="70">
        <f t="shared" si="390"/>
        <v>475874.83990521898</v>
      </c>
      <c r="AN322" s="72"/>
      <c r="AO322" s="267"/>
      <c r="AP322" s="70">
        <f t="shared" si="391"/>
        <v>0</v>
      </c>
      <c r="AQ322" s="72"/>
      <c r="AR322" s="266"/>
      <c r="AS322" s="70">
        <f t="shared" si="392"/>
        <v>0</v>
      </c>
      <c r="AT322" s="178"/>
      <c r="AU322" s="267"/>
      <c r="AV322" s="70">
        <v>-467970.84619742329</v>
      </c>
      <c r="AW322" s="72"/>
      <c r="AX322" s="266"/>
      <c r="AY322" s="70">
        <v>-475874.83990521898</v>
      </c>
      <c r="AZ322" s="178"/>
      <c r="BA322" s="267"/>
      <c r="BB322" s="70"/>
      <c r="BC322" s="72"/>
      <c r="BD322" s="266"/>
      <c r="BE322" s="70"/>
      <c r="BF322" s="178"/>
      <c r="BG322" s="178"/>
      <c r="BH322" s="178"/>
      <c r="BI322" s="178"/>
      <c r="BJ322" s="178"/>
    </row>
    <row r="323" spans="2:62" x14ac:dyDescent="0.4">
      <c r="C323" s="56" t="s">
        <v>18</v>
      </c>
      <c r="D323" s="246"/>
      <c r="E323" s="266"/>
      <c r="F323" s="272">
        <f t="shared" si="393"/>
        <v>0.25</v>
      </c>
      <c r="G323" s="72"/>
      <c r="H323" s="266"/>
      <c r="I323" s="53"/>
      <c r="J323" s="72"/>
      <c r="K323" s="266"/>
      <c r="L323" s="53"/>
      <c r="M323" s="72"/>
      <c r="N323" s="266"/>
      <c r="O323" s="70"/>
      <c r="P323" s="72"/>
      <c r="Q323" s="266"/>
      <c r="R323" s="70"/>
      <c r="S323" s="72"/>
      <c r="T323" s="266"/>
      <c r="U323" s="70"/>
      <c r="V323" s="72"/>
      <c r="W323" s="266"/>
      <c r="X323" s="70"/>
      <c r="Y323" s="72"/>
      <c r="Z323" s="266"/>
      <c r="AA323" s="70"/>
      <c r="AB323" s="72"/>
      <c r="AC323" s="266"/>
      <c r="AD323" s="70"/>
      <c r="AE323" s="72"/>
      <c r="AF323" s="266"/>
      <c r="AG323" s="70"/>
      <c r="AH323" s="178"/>
      <c r="AI323" s="267"/>
      <c r="AJ323" s="70">
        <f t="shared" si="389"/>
        <v>135995.41198211419</v>
      </c>
      <c r="AK323" s="72"/>
      <c r="AL323" s="266"/>
      <c r="AM323" s="70">
        <f t="shared" si="390"/>
        <v>138105.21083910458</v>
      </c>
      <c r="AN323" s="72"/>
      <c r="AO323" s="267"/>
      <c r="AP323" s="70">
        <f t="shared" si="391"/>
        <v>0</v>
      </c>
      <c r="AQ323" s="72"/>
      <c r="AR323" s="266"/>
      <c r="AS323" s="70">
        <f t="shared" si="392"/>
        <v>0</v>
      </c>
      <c r="AT323" s="178"/>
      <c r="AU323" s="267"/>
      <c r="AV323" s="70">
        <v>-135995.41198211419</v>
      </c>
      <c r="AW323" s="72"/>
      <c r="AX323" s="266"/>
      <c r="AY323" s="70">
        <v>-138105.21083910458</v>
      </c>
      <c r="AZ323" s="178"/>
      <c r="BA323" s="267"/>
      <c r="BB323" s="70"/>
      <c r="BC323" s="72"/>
      <c r="BD323" s="266"/>
      <c r="BE323" s="70"/>
      <c r="BF323" s="178"/>
      <c r="BG323" s="178"/>
      <c r="BH323" s="178"/>
      <c r="BI323" s="178"/>
      <c r="BJ323" s="178"/>
    </row>
    <row r="324" spans="2:62" x14ac:dyDescent="0.4">
      <c r="C324" s="56" t="s">
        <v>19</v>
      </c>
      <c r="D324" s="246"/>
      <c r="E324" s="266"/>
      <c r="F324" s="272">
        <f t="shared" si="393"/>
        <v>0.25</v>
      </c>
      <c r="G324" s="72"/>
      <c r="H324" s="266"/>
      <c r="I324" s="53"/>
      <c r="J324" s="72"/>
      <c r="K324" s="266"/>
      <c r="L324" s="53"/>
      <c r="M324" s="72"/>
      <c r="N324" s="266"/>
      <c r="O324" s="70"/>
      <c r="P324" s="72"/>
      <c r="Q324" s="266"/>
      <c r="R324" s="70"/>
      <c r="S324" s="72"/>
      <c r="T324" s="266"/>
      <c r="U324" s="70"/>
      <c r="V324" s="72"/>
      <c r="W324" s="266"/>
      <c r="X324" s="70"/>
      <c r="Y324" s="72"/>
      <c r="Z324" s="266"/>
      <c r="AA324" s="70"/>
      <c r="AB324" s="72"/>
      <c r="AC324" s="266"/>
      <c r="AD324" s="70"/>
      <c r="AE324" s="72"/>
      <c r="AF324" s="266"/>
      <c r="AG324" s="70"/>
      <c r="AH324" s="178"/>
      <c r="AI324" s="267"/>
      <c r="AJ324" s="70">
        <f t="shared" si="389"/>
        <v>1890160.9969777616</v>
      </c>
      <c r="AK324" s="72"/>
      <c r="AL324" s="266"/>
      <c r="AM324" s="70">
        <f t="shared" si="390"/>
        <v>1930389.024488047</v>
      </c>
      <c r="AN324" s="72"/>
      <c r="AO324" s="267"/>
      <c r="AP324" s="70">
        <f t="shared" si="391"/>
        <v>0</v>
      </c>
      <c r="AQ324" s="72"/>
      <c r="AR324" s="266"/>
      <c r="AS324" s="70">
        <f t="shared" si="392"/>
        <v>0</v>
      </c>
      <c r="AT324" s="178"/>
      <c r="AU324" s="267"/>
      <c r="AV324" s="70">
        <v>-1890160.9969777616</v>
      </c>
      <c r="AW324" s="72"/>
      <c r="AX324" s="266"/>
      <c r="AY324" s="70">
        <v>-1930389.024488047</v>
      </c>
      <c r="AZ324" s="178"/>
      <c r="BA324" s="267"/>
      <c r="BB324" s="70"/>
      <c r="BC324" s="72"/>
      <c r="BD324" s="266"/>
      <c r="BE324" s="70"/>
      <c r="BF324" s="178"/>
      <c r="BG324" s="178"/>
      <c r="BH324" s="178"/>
      <c r="BI324" s="178"/>
      <c r="BJ324" s="178"/>
    </row>
    <row r="325" spans="2:62" x14ac:dyDescent="0.4">
      <c r="C325" s="56" t="s">
        <v>20</v>
      </c>
      <c r="D325" s="246"/>
      <c r="E325" s="266"/>
      <c r="F325" s="272">
        <f t="shared" si="393"/>
        <v>0.25</v>
      </c>
      <c r="G325" s="72"/>
      <c r="H325" s="266"/>
      <c r="I325" s="53"/>
      <c r="J325" s="72"/>
      <c r="K325" s="266"/>
      <c r="L325" s="53"/>
      <c r="M325" s="72"/>
      <c r="N325" s="266"/>
      <c r="O325" s="70"/>
      <c r="P325" s="72"/>
      <c r="Q325" s="266"/>
      <c r="R325" s="70"/>
      <c r="S325" s="72"/>
      <c r="T325" s="266"/>
      <c r="U325" s="70"/>
      <c r="V325" s="72"/>
      <c r="W325" s="266"/>
      <c r="X325" s="70"/>
      <c r="Y325" s="72"/>
      <c r="Z325" s="266"/>
      <c r="AA325" s="70"/>
      <c r="AB325" s="72"/>
      <c r="AC325" s="266"/>
      <c r="AD325" s="70"/>
      <c r="AE325" s="72"/>
      <c r="AF325" s="266"/>
      <c r="AG325" s="70"/>
      <c r="AH325" s="178"/>
      <c r="AI325" s="267"/>
      <c r="AJ325" s="70">
        <f t="shared" si="389"/>
        <v>430329.39276547375</v>
      </c>
      <c r="AK325" s="72"/>
      <c r="AL325" s="266"/>
      <c r="AM325" s="70">
        <f t="shared" si="390"/>
        <v>442479.21007361304</v>
      </c>
      <c r="AN325" s="72"/>
      <c r="AO325" s="267"/>
      <c r="AP325" s="70">
        <f t="shared" si="391"/>
        <v>0</v>
      </c>
      <c r="AQ325" s="72"/>
      <c r="AR325" s="266"/>
      <c r="AS325" s="70">
        <f t="shared" si="392"/>
        <v>0</v>
      </c>
      <c r="AT325" s="178"/>
      <c r="AU325" s="267"/>
      <c r="AV325" s="70">
        <v>-430329.39276547375</v>
      </c>
      <c r="AW325" s="72"/>
      <c r="AX325" s="266"/>
      <c r="AY325" s="70">
        <v>-442479.21007361304</v>
      </c>
      <c r="AZ325" s="178"/>
      <c r="BA325" s="267"/>
      <c r="BB325" s="70"/>
      <c r="BC325" s="72"/>
      <c r="BD325" s="266"/>
      <c r="BE325" s="70"/>
      <c r="BF325" s="178"/>
      <c r="BG325" s="178"/>
      <c r="BH325" s="178"/>
      <c r="BI325" s="178"/>
      <c r="BJ325" s="178"/>
    </row>
    <row r="326" spans="2:62" x14ac:dyDescent="0.4">
      <c r="C326" s="56" t="s">
        <v>21</v>
      </c>
      <c r="D326" s="246"/>
      <c r="E326" s="266"/>
      <c r="F326" s="272">
        <f t="shared" si="393"/>
        <v>0.25</v>
      </c>
      <c r="G326" s="72"/>
      <c r="H326" s="266"/>
      <c r="I326" s="53"/>
      <c r="J326" s="72"/>
      <c r="K326" s="266"/>
      <c r="L326" s="53"/>
      <c r="M326" s="72"/>
      <c r="N326" s="266"/>
      <c r="O326" s="70"/>
      <c r="P326" s="72"/>
      <c r="Q326" s="266"/>
      <c r="R326" s="70"/>
      <c r="S326" s="72"/>
      <c r="T326" s="266"/>
      <c r="U326" s="70"/>
      <c r="V326" s="72"/>
      <c r="W326" s="266"/>
      <c r="X326" s="70"/>
      <c r="Y326" s="72"/>
      <c r="Z326" s="266"/>
      <c r="AA326" s="70"/>
      <c r="AB326" s="72"/>
      <c r="AC326" s="266"/>
      <c r="AD326" s="70"/>
      <c r="AE326" s="72"/>
      <c r="AF326" s="266"/>
      <c r="AG326" s="70"/>
      <c r="AH326" s="178"/>
      <c r="AI326" s="267"/>
      <c r="AJ326" s="70">
        <f t="shared" si="389"/>
        <v>228286.71234539823</v>
      </c>
      <c r="AK326" s="72"/>
      <c r="AL326" s="266"/>
      <c r="AM326" s="70">
        <f t="shared" si="390"/>
        <v>227401.53368857587</v>
      </c>
      <c r="AN326" s="72"/>
      <c r="AO326" s="267"/>
      <c r="AP326" s="70">
        <f t="shared" si="391"/>
        <v>0</v>
      </c>
      <c r="AQ326" s="72"/>
      <c r="AR326" s="266"/>
      <c r="AS326" s="70">
        <f t="shared" si="392"/>
        <v>0</v>
      </c>
      <c r="AT326" s="178"/>
      <c r="AU326" s="267"/>
      <c r="AV326" s="70">
        <v>-228286.71234539823</v>
      </c>
      <c r="AW326" s="72"/>
      <c r="AX326" s="266"/>
      <c r="AY326" s="70">
        <v>-227401.53368857587</v>
      </c>
      <c r="AZ326" s="178"/>
      <c r="BA326" s="267"/>
      <c r="BB326" s="70"/>
      <c r="BC326" s="72"/>
      <c r="BD326" s="266"/>
      <c r="BE326" s="70"/>
      <c r="BF326" s="178"/>
      <c r="BG326" s="178"/>
      <c r="BH326" s="178"/>
      <c r="BI326" s="178"/>
      <c r="BJ326" s="178"/>
    </row>
    <row r="327" spans="2:62" x14ac:dyDescent="0.4">
      <c r="C327" s="56" t="s">
        <v>22</v>
      </c>
      <c r="D327" s="246"/>
      <c r="E327" s="266"/>
      <c r="F327" s="272">
        <f t="shared" si="393"/>
        <v>0.25</v>
      </c>
      <c r="G327" s="72"/>
      <c r="H327" s="266"/>
      <c r="I327" s="53"/>
      <c r="J327" s="72"/>
      <c r="K327" s="266"/>
      <c r="L327" s="53"/>
      <c r="M327" s="72"/>
      <c r="N327" s="266"/>
      <c r="O327" s="70"/>
      <c r="P327" s="72"/>
      <c r="Q327" s="266"/>
      <c r="R327" s="70"/>
      <c r="S327" s="72"/>
      <c r="T327" s="266"/>
      <c r="U327" s="70"/>
      <c r="V327" s="72"/>
      <c r="W327" s="266"/>
      <c r="X327" s="70"/>
      <c r="Y327" s="72"/>
      <c r="Z327" s="266"/>
      <c r="AA327" s="70"/>
      <c r="AB327" s="72"/>
      <c r="AC327" s="266"/>
      <c r="AD327" s="70"/>
      <c r="AE327" s="72"/>
      <c r="AF327" s="266"/>
      <c r="AG327" s="70"/>
      <c r="AH327" s="178"/>
      <c r="AI327" s="267"/>
      <c r="AJ327" s="70">
        <f t="shared" si="389"/>
        <v>28171.821825850591</v>
      </c>
      <c r="AK327" s="72"/>
      <c r="AL327" s="266"/>
      <c r="AM327" s="70">
        <f t="shared" si="390"/>
        <v>29933.327668563958</v>
      </c>
      <c r="AN327" s="72"/>
      <c r="AO327" s="267"/>
      <c r="AP327" s="70">
        <f t="shared" si="391"/>
        <v>0</v>
      </c>
      <c r="AQ327" s="72"/>
      <c r="AR327" s="266"/>
      <c r="AS327" s="70">
        <f t="shared" si="392"/>
        <v>0</v>
      </c>
      <c r="AT327" s="178"/>
      <c r="AU327" s="267"/>
      <c r="AV327" s="70">
        <v>-28171.821825850591</v>
      </c>
      <c r="AW327" s="72"/>
      <c r="AX327" s="266"/>
      <c r="AY327" s="70">
        <v>-29933.327668563958</v>
      </c>
      <c r="AZ327" s="178"/>
      <c r="BA327" s="267"/>
      <c r="BB327" s="70"/>
      <c r="BC327" s="72"/>
      <c r="BD327" s="266"/>
      <c r="BE327" s="70"/>
      <c r="BF327" s="178"/>
      <c r="BG327" s="178"/>
      <c r="BH327" s="178"/>
      <c r="BI327" s="178"/>
      <c r="BJ327" s="178"/>
    </row>
    <row r="328" spans="2:62" x14ac:dyDescent="0.4">
      <c r="C328" s="56" t="s">
        <v>23</v>
      </c>
      <c r="D328" s="246"/>
      <c r="E328" s="266"/>
      <c r="F328" s="272">
        <f t="shared" si="393"/>
        <v>0.25</v>
      </c>
      <c r="G328" s="72"/>
      <c r="H328" s="266"/>
      <c r="I328" s="53"/>
      <c r="J328" s="72"/>
      <c r="K328" s="266"/>
      <c r="L328" s="53"/>
      <c r="M328" s="72"/>
      <c r="N328" s="266"/>
      <c r="O328" s="70"/>
      <c r="P328" s="72"/>
      <c r="Q328" s="266"/>
      <c r="R328" s="70"/>
      <c r="S328" s="72"/>
      <c r="T328" s="266"/>
      <c r="U328" s="70"/>
      <c r="V328" s="72"/>
      <c r="W328" s="266"/>
      <c r="X328" s="70"/>
      <c r="Y328" s="72"/>
      <c r="Z328" s="266"/>
      <c r="AA328" s="70"/>
      <c r="AB328" s="72"/>
      <c r="AC328" s="266"/>
      <c r="AD328" s="70"/>
      <c r="AE328" s="72"/>
      <c r="AF328" s="266"/>
      <c r="AG328" s="70"/>
      <c r="AH328" s="178"/>
      <c r="AI328" s="267"/>
      <c r="AJ328" s="70">
        <f t="shared" si="389"/>
        <v>14983.059312821757</v>
      </c>
      <c r="AK328" s="72"/>
      <c r="AL328" s="266"/>
      <c r="AM328" s="70">
        <f t="shared" si="390"/>
        <v>15565.15030568255</v>
      </c>
      <c r="AN328" s="72"/>
      <c r="AO328" s="267"/>
      <c r="AP328" s="70">
        <f t="shared" si="391"/>
        <v>0</v>
      </c>
      <c r="AQ328" s="72"/>
      <c r="AR328" s="266"/>
      <c r="AS328" s="70">
        <f t="shared" si="392"/>
        <v>0</v>
      </c>
      <c r="AT328" s="178"/>
      <c r="AU328" s="267"/>
      <c r="AV328" s="70">
        <v>-14983.059312821757</v>
      </c>
      <c r="AW328" s="72"/>
      <c r="AX328" s="266"/>
      <c r="AY328" s="70">
        <v>-15565.15030568255</v>
      </c>
      <c r="AZ328" s="178"/>
      <c r="BA328" s="267"/>
      <c r="BB328" s="70"/>
      <c r="BC328" s="72"/>
      <c r="BD328" s="266"/>
      <c r="BE328" s="70"/>
      <c r="BF328" s="178"/>
      <c r="BG328" s="178"/>
      <c r="BH328" s="178"/>
      <c r="BI328" s="178"/>
      <c r="BJ328" s="178"/>
    </row>
    <row r="329" spans="2:62" x14ac:dyDescent="0.4">
      <c r="C329" s="56" t="s">
        <v>24</v>
      </c>
      <c r="D329" s="246"/>
      <c r="E329" s="266"/>
      <c r="F329" s="272">
        <f t="shared" si="393"/>
        <v>0.25</v>
      </c>
      <c r="G329" s="72"/>
      <c r="H329" s="266"/>
      <c r="I329" s="53"/>
      <c r="J329" s="72"/>
      <c r="K329" s="266"/>
      <c r="L329" s="53"/>
      <c r="M329" s="72"/>
      <c r="N329" s="266"/>
      <c r="O329" s="70"/>
      <c r="P329" s="72"/>
      <c r="Q329" s="266"/>
      <c r="R329" s="70"/>
      <c r="S329" s="72"/>
      <c r="T329" s="266"/>
      <c r="U329" s="70"/>
      <c r="V329" s="72"/>
      <c r="W329" s="266"/>
      <c r="X329" s="70"/>
      <c r="Y329" s="72"/>
      <c r="Z329" s="266"/>
      <c r="AA329" s="70"/>
      <c r="AB329" s="72"/>
      <c r="AC329" s="266"/>
      <c r="AD329" s="70"/>
      <c r="AE329" s="72"/>
      <c r="AF329" s="266"/>
      <c r="AG329" s="70"/>
      <c r="AH329" s="178"/>
      <c r="AI329" s="267"/>
      <c r="AJ329" s="70">
        <f t="shared" si="389"/>
        <v>191.2269018755911</v>
      </c>
      <c r="AK329" s="72"/>
      <c r="AL329" s="266"/>
      <c r="AM329" s="70">
        <f t="shared" si="390"/>
        <v>187.52975655447452</v>
      </c>
      <c r="AN329" s="72"/>
      <c r="AO329" s="267"/>
      <c r="AP329" s="70">
        <f t="shared" si="391"/>
        <v>0</v>
      </c>
      <c r="AQ329" s="72"/>
      <c r="AR329" s="266"/>
      <c r="AS329" s="70">
        <f t="shared" si="392"/>
        <v>0</v>
      </c>
      <c r="AT329" s="178"/>
      <c r="AU329" s="267"/>
      <c r="AV329" s="70">
        <v>-191.2269018755911</v>
      </c>
      <c r="AW329" s="72"/>
      <c r="AX329" s="266"/>
      <c r="AY329" s="70">
        <v>-187.52975655447452</v>
      </c>
      <c r="AZ329" s="178"/>
      <c r="BA329" s="267"/>
      <c r="BB329" s="70"/>
      <c r="BC329" s="72"/>
      <c r="BD329" s="266"/>
      <c r="BE329" s="70"/>
      <c r="BF329" s="178"/>
      <c r="BG329" s="178"/>
      <c r="BH329" s="178"/>
      <c r="BI329" s="178"/>
      <c r="BJ329" s="178"/>
    </row>
    <row r="330" spans="2:62" x14ac:dyDescent="0.4">
      <c r="C330" s="56"/>
      <c r="D330" s="246"/>
      <c r="E330" s="266"/>
      <c r="F330" s="70"/>
      <c r="G330" s="72"/>
      <c r="H330" s="266"/>
      <c r="I330" s="53"/>
      <c r="J330" s="72"/>
      <c r="K330" s="266"/>
      <c r="L330" s="53"/>
      <c r="M330" s="72"/>
      <c r="N330" s="266"/>
      <c r="O330" s="70"/>
      <c r="P330" s="72"/>
      <c r="Q330" s="266"/>
      <c r="R330" s="70"/>
      <c r="S330" s="72"/>
      <c r="T330" s="266"/>
      <c r="U330" s="70"/>
      <c r="V330" s="72"/>
      <c r="W330" s="266"/>
      <c r="X330" s="70"/>
      <c r="Y330" s="72"/>
      <c r="Z330" s="266"/>
      <c r="AA330" s="70"/>
      <c r="AB330" s="72"/>
      <c r="AC330" s="266"/>
      <c r="AD330" s="70"/>
      <c r="AE330" s="72"/>
      <c r="AF330" s="266"/>
      <c r="AG330" s="70"/>
      <c r="AH330" s="178"/>
      <c r="AI330" s="267"/>
      <c r="AJ330" s="70">
        <f t="shared" si="389"/>
        <v>0</v>
      </c>
      <c r="AK330" s="72"/>
      <c r="AL330" s="266"/>
      <c r="AM330" s="70">
        <f t="shared" si="390"/>
        <v>0</v>
      </c>
      <c r="AN330" s="72"/>
      <c r="AO330" s="267"/>
      <c r="AP330" s="70">
        <f t="shared" si="391"/>
        <v>0</v>
      </c>
      <c r="AQ330" s="72"/>
      <c r="AR330" s="266"/>
      <c r="AS330" s="70">
        <f t="shared" si="392"/>
        <v>0</v>
      </c>
      <c r="AT330" s="178"/>
      <c r="AU330" s="267"/>
      <c r="AV330" s="70"/>
      <c r="AW330" s="72"/>
      <c r="AX330" s="266"/>
      <c r="AY330" s="70"/>
      <c r="AZ330" s="178"/>
      <c r="BA330" s="267"/>
      <c r="BB330" s="70"/>
      <c r="BC330" s="72"/>
      <c r="BD330" s="266"/>
      <c r="BE330" s="70"/>
      <c r="BF330" s="178"/>
      <c r="BG330" s="178"/>
      <c r="BH330" s="178"/>
      <c r="BI330" s="178"/>
      <c r="BJ330" s="178"/>
    </row>
    <row r="331" spans="2:62" x14ac:dyDescent="0.4">
      <c r="B331" s="2" t="s">
        <v>107</v>
      </c>
      <c r="C331" s="56"/>
      <c r="D331" s="246"/>
      <c r="E331" s="266"/>
      <c r="F331" s="70"/>
      <c r="G331" s="72"/>
      <c r="H331" s="266"/>
      <c r="I331" s="53"/>
      <c r="J331" s="72"/>
      <c r="K331" s="266"/>
      <c r="L331" s="53"/>
      <c r="M331" s="72"/>
      <c r="N331" s="266"/>
      <c r="O331" s="70"/>
      <c r="P331" s="72"/>
      <c r="Q331" s="266"/>
      <c r="R331" s="70"/>
      <c r="S331" s="72"/>
      <c r="T331" s="266"/>
      <c r="U331" s="70"/>
      <c r="V331" s="72"/>
      <c r="W331" s="266"/>
      <c r="X331" s="70"/>
      <c r="Y331" s="72"/>
      <c r="Z331" s="266"/>
      <c r="AA331" s="70"/>
      <c r="AB331" s="72"/>
      <c r="AC331" s="266"/>
      <c r="AD331" s="70"/>
      <c r="AE331" s="72"/>
      <c r="AF331" s="266"/>
      <c r="AG331" s="70"/>
      <c r="AH331" s="178"/>
      <c r="AI331" s="267"/>
      <c r="AJ331" s="70">
        <f t="shared" si="389"/>
        <v>0</v>
      </c>
      <c r="AK331" s="72"/>
      <c r="AL331" s="266"/>
      <c r="AM331" s="70">
        <f t="shared" si="390"/>
        <v>0</v>
      </c>
      <c r="AN331" s="72"/>
      <c r="AO331" s="267"/>
      <c r="AP331" s="70">
        <f t="shared" si="391"/>
        <v>0</v>
      </c>
      <c r="AQ331" s="72"/>
      <c r="AR331" s="266"/>
      <c r="AS331" s="70">
        <f t="shared" si="392"/>
        <v>0</v>
      </c>
      <c r="AT331" s="178"/>
      <c r="AU331" s="267"/>
      <c r="AV331" s="70"/>
      <c r="AW331" s="72"/>
      <c r="AX331" s="266"/>
      <c r="AY331" s="70"/>
      <c r="AZ331" s="178"/>
      <c r="BA331" s="267"/>
      <c r="BB331" s="70"/>
      <c r="BC331" s="72"/>
      <c r="BD331" s="266"/>
      <c r="BE331" s="70"/>
      <c r="BF331" s="178"/>
      <c r="BG331" s="178"/>
      <c r="BH331" s="178"/>
      <c r="BI331" s="178"/>
      <c r="BJ331" s="178"/>
    </row>
    <row r="332" spans="2:62" x14ac:dyDescent="0.4">
      <c r="C332" s="56" t="s">
        <v>17</v>
      </c>
      <c r="D332" s="246"/>
      <c r="E332" s="266"/>
      <c r="F332" s="272">
        <f t="shared" ref="F332:F339" si="394">$F$317</f>
        <v>0.25</v>
      </c>
      <c r="G332" s="72"/>
      <c r="H332" s="266"/>
      <c r="I332" s="53"/>
      <c r="J332" s="72"/>
      <c r="K332" s="266"/>
      <c r="L332" s="53"/>
      <c r="M332" s="72"/>
      <c r="N332" s="266"/>
      <c r="O332" s="70"/>
      <c r="P332" s="72"/>
      <c r="Q332" s="266"/>
      <c r="R332" s="70"/>
      <c r="S332" s="72"/>
      <c r="T332" s="266"/>
      <c r="U332" s="70"/>
      <c r="V332" s="72"/>
      <c r="W332" s="266"/>
      <c r="X332" s="70"/>
      <c r="Y332" s="72"/>
      <c r="Z332" s="266"/>
      <c r="AA332" s="70"/>
      <c r="AB332" s="72"/>
      <c r="AC332" s="266"/>
      <c r="AD332" s="70"/>
      <c r="AE332" s="72"/>
      <c r="AF332" s="266"/>
      <c r="AG332" s="70"/>
      <c r="AH332" s="178"/>
      <c r="AI332" s="267"/>
      <c r="AJ332" s="70">
        <f t="shared" si="389"/>
        <v>1889774.4857728283</v>
      </c>
      <c r="AK332" s="72"/>
      <c r="AL332" s="266"/>
      <c r="AM332" s="70">
        <f t="shared" si="390"/>
        <v>1921692.6400041706</v>
      </c>
      <c r="AN332" s="72"/>
      <c r="AO332" s="267"/>
      <c r="AP332" s="70">
        <f t="shared" si="391"/>
        <v>0</v>
      </c>
      <c r="AQ332" s="72"/>
      <c r="AR332" s="266"/>
      <c r="AS332" s="70">
        <f t="shared" si="392"/>
        <v>0</v>
      </c>
      <c r="AT332" s="178"/>
      <c r="AU332" s="267"/>
      <c r="AV332" s="70">
        <v>-1889774.4857728283</v>
      </c>
      <c r="AW332" s="72"/>
      <c r="AX332" s="266"/>
      <c r="AY332" s="70">
        <v>-1921692.6400041706</v>
      </c>
      <c r="AZ332" s="178"/>
      <c r="BA332" s="267"/>
      <c r="BB332" s="70"/>
      <c r="BC332" s="72"/>
      <c r="BD332" s="266"/>
      <c r="BE332" s="70"/>
      <c r="BF332" s="178"/>
      <c r="BG332" s="178"/>
      <c r="BH332" s="178"/>
      <c r="BI332" s="178"/>
      <c r="BJ332" s="178"/>
    </row>
    <row r="333" spans="2:62" x14ac:dyDescent="0.4">
      <c r="C333" s="56" t="s">
        <v>18</v>
      </c>
      <c r="D333" s="246"/>
      <c r="E333" s="266"/>
      <c r="F333" s="272">
        <f t="shared" si="394"/>
        <v>0.25</v>
      </c>
      <c r="G333" s="72"/>
      <c r="H333" s="266"/>
      <c r="I333" s="53"/>
      <c r="J333" s="72"/>
      <c r="K333" s="266"/>
      <c r="L333" s="53"/>
      <c r="M333" s="72"/>
      <c r="N333" s="266"/>
      <c r="O333" s="70"/>
      <c r="P333" s="72"/>
      <c r="Q333" s="266"/>
      <c r="R333" s="70"/>
      <c r="S333" s="72"/>
      <c r="T333" s="266"/>
      <c r="U333" s="70"/>
      <c r="V333" s="72"/>
      <c r="W333" s="266"/>
      <c r="X333" s="70"/>
      <c r="Y333" s="72"/>
      <c r="Z333" s="266"/>
      <c r="AA333" s="70"/>
      <c r="AB333" s="72"/>
      <c r="AC333" s="266"/>
      <c r="AD333" s="70"/>
      <c r="AE333" s="72"/>
      <c r="AF333" s="266"/>
      <c r="AG333" s="70"/>
      <c r="AH333" s="178"/>
      <c r="AI333" s="267"/>
      <c r="AJ333" s="70">
        <f t="shared" si="389"/>
        <v>549180.91978221794</v>
      </c>
      <c r="AK333" s="72"/>
      <c r="AL333" s="266"/>
      <c r="AM333" s="70">
        <f t="shared" si="390"/>
        <v>557700.77541521413</v>
      </c>
      <c r="AN333" s="72"/>
      <c r="AO333" s="267"/>
      <c r="AP333" s="70">
        <f t="shared" si="391"/>
        <v>0</v>
      </c>
      <c r="AQ333" s="72"/>
      <c r="AR333" s="266"/>
      <c r="AS333" s="70">
        <f t="shared" si="392"/>
        <v>0</v>
      </c>
      <c r="AT333" s="178"/>
      <c r="AU333" s="267"/>
      <c r="AV333" s="70">
        <v>-549180.91978221794</v>
      </c>
      <c r="AW333" s="72"/>
      <c r="AX333" s="266"/>
      <c r="AY333" s="70">
        <v>-557700.77541521413</v>
      </c>
      <c r="AZ333" s="178"/>
      <c r="BA333" s="267"/>
      <c r="BB333" s="70"/>
      <c r="BC333" s="72"/>
      <c r="BD333" s="266"/>
      <c r="BE333" s="70"/>
      <c r="BF333" s="178"/>
      <c r="BG333" s="178"/>
      <c r="BH333" s="178"/>
      <c r="BI333" s="178"/>
      <c r="BJ333" s="178"/>
    </row>
    <row r="334" spans="2:62" x14ac:dyDescent="0.4">
      <c r="C334" s="56" t="s">
        <v>19</v>
      </c>
      <c r="D334" s="246"/>
      <c r="E334" s="266"/>
      <c r="F334" s="272">
        <f t="shared" si="394"/>
        <v>0.25</v>
      </c>
      <c r="G334" s="72"/>
      <c r="H334" s="266"/>
      <c r="I334" s="53"/>
      <c r="J334" s="72"/>
      <c r="K334" s="266"/>
      <c r="L334" s="53"/>
      <c r="M334" s="72"/>
      <c r="N334" s="266"/>
      <c r="O334" s="70"/>
      <c r="P334" s="72"/>
      <c r="Q334" s="266"/>
      <c r="R334" s="70"/>
      <c r="S334" s="72"/>
      <c r="T334" s="266"/>
      <c r="U334" s="70"/>
      <c r="V334" s="72"/>
      <c r="W334" s="266"/>
      <c r="X334" s="70"/>
      <c r="Y334" s="72"/>
      <c r="Z334" s="266"/>
      <c r="AA334" s="70"/>
      <c r="AB334" s="72"/>
      <c r="AC334" s="266"/>
      <c r="AD334" s="70"/>
      <c r="AE334" s="72"/>
      <c r="AF334" s="266"/>
      <c r="AG334" s="70"/>
      <c r="AH334" s="178"/>
      <c r="AI334" s="267"/>
      <c r="AJ334" s="70">
        <f t="shared" si="389"/>
        <v>7632907.1674362216</v>
      </c>
      <c r="AK334" s="72"/>
      <c r="AL334" s="266"/>
      <c r="AM334" s="70">
        <f t="shared" si="390"/>
        <v>7795357.2444434399</v>
      </c>
      <c r="AN334" s="72"/>
      <c r="AO334" s="267"/>
      <c r="AP334" s="70">
        <f t="shared" si="391"/>
        <v>0</v>
      </c>
      <c r="AQ334" s="72"/>
      <c r="AR334" s="266"/>
      <c r="AS334" s="70">
        <f t="shared" si="392"/>
        <v>0</v>
      </c>
      <c r="AT334" s="178"/>
      <c r="AU334" s="267"/>
      <c r="AV334" s="70">
        <v>-7632907.1674362216</v>
      </c>
      <c r="AW334" s="72"/>
      <c r="AX334" s="266"/>
      <c r="AY334" s="70">
        <v>-7795357.2444434399</v>
      </c>
      <c r="AZ334" s="178"/>
      <c r="BA334" s="267"/>
      <c r="BB334" s="70"/>
      <c r="BC334" s="72"/>
      <c r="BD334" s="266"/>
      <c r="BE334" s="70"/>
      <c r="BF334" s="178"/>
      <c r="BG334" s="178"/>
      <c r="BH334" s="178"/>
      <c r="BI334" s="178"/>
      <c r="BJ334" s="178"/>
    </row>
    <row r="335" spans="2:62" x14ac:dyDescent="0.4">
      <c r="C335" s="56" t="s">
        <v>20</v>
      </c>
      <c r="D335" s="246"/>
      <c r="E335" s="266"/>
      <c r="F335" s="272">
        <f t="shared" si="394"/>
        <v>0.25</v>
      </c>
      <c r="G335" s="72"/>
      <c r="H335" s="266"/>
      <c r="I335" s="53"/>
      <c r="J335" s="72"/>
      <c r="K335" s="266"/>
      <c r="L335" s="53"/>
      <c r="M335" s="72"/>
      <c r="N335" s="266"/>
      <c r="O335" s="70"/>
      <c r="P335" s="72"/>
      <c r="Q335" s="266"/>
      <c r="R335" s="70"/>
      <c r="S335" s="72"/>
      <c r="T335" s="266"/>
      <c r="U335" s="70"/>
      <c r="V335" s="72"/>
      <c r="W335" s="266"/>
      <c r="X335" s="70"/>
      <c r="Y335" s="72"/>
      <c r="Z335" s="266"/>
      <c r="AA335" s="70"/>
      <c r="AB335" s="72"/>
      <c r="AC335" s="266"/>
      <c r="AD335" s="70"/>
      <c r="AE335" s="72"/>
      <c r="AF335" s="266"/>
      <c r="AG335" s="70"/>
      <c r="AH335" s="178"/>
      <c r="AI335" s="267"/>
      <c r="AJ335" s="70">
        <f t="shared" si="389"/>
        <v>1737769.5929870605</v>
      </c>
      <c r="AK335" s="72"/>
      <c r="AL335" s="266"/>
      <c r="AM335" s="70">
        <f t="shared" si="390"/>
        <v>1786833.3646777363</v>
      </c>
      <c r="AN335" s="72"/>
      <c r="AO335" s="267"/>
      <c r="AP335" s="70">
        <f t="shared" si="391"/>
        <v>0</v>
      </c>
      <c r="AQ335" s="72"/>
      <c r="AR335" s="266"/>
      <c r="AS335" s="70">
        <f t="shared" si="392"/>
        <v>0</v>
      </c>
      <c r="AT335" s="178"/>
      <c r="AU335" s="267"/>
      <c r="AV335" s="70">
        <v>-1737769.5929870605</v>
      </c>
      <c r="AW335" s="72"/>
      <c r="AX335" s="266"/>
      <c r="AY335" s="70">
        <v>-1786833.3646777363</v>
      </c>
      <c r="AZ335" s="178"/>
      <c r="BA335" s="267"/>
      <c r="BB335" s="70"/>
      <c r="BC335" s="72"/>
      <c r="BD335" s="266"/>
      <c r="BE335" s="70"/>
      <c r="BF335" s="178"/>
      <c r="BG335" s="178"/>
      <c r="BH335" s="178"/>
      <c r="BI335" s="178"/>
      <c r="BJ335" s="178"/>
    </row>
    <row r="336" spans="2:62" x14ac:dyDescent="0.4">
      <c r="C336" s="56" t="s">
        <v>21</v>
      </c>
      <c r="D336" s="246"/>
      <c r="E336" s="266"/>
      <c r="F336" s="272">
        <f t="shared" si="394"/>
        <v>0.25</v>
      </c>
      <c r="G336" s="72"/>
      <c r="H336" s="266"/>
      <c r="I336" s="53"/>
      <c r="J336" s="72"/>
      <c r="K336" s="266"/>
      <c r="L336" s="53"/>
      <c r="M336" s="72"/>
      <c r="N336" s="266"/>
      <c r="O336" s="70"/>
      <c r="P336" s="72"/>
      <c r="Q336" s="266"/>
      <c r="R336" s="70"/>
      <c r="S336" s="72"/>
      <c r="T336" s="266"/>
      <c r="U336" s="70"/>
      <c r="V336" s="72"/>
      <c r="W336" s="266"/>
      <c r="X336" s="70"/>
      <c r="Y336" s="72"/>
      <c r="Z336" s="266"/>
      <c r="AA336" s="70"/>
      <c r="AB336" s="72"/>
      <c r="AC336" s="266"/>
      <c r="AD336" s="70"/>
      <c r="AE336" s="72"/>
      <c r="AF336" s="266"/>
      <c r="AG336" s="70"/>
      <c r="AH336" s="178"/>
      <c r="AI336" s="267"/>
      <c r="AJ336" s="70">
        <f t="shared" si="389"/>
        <v>921874.53115251334</v>
      </c>
      <c r="AK336" s="72"/>
      <c r="AL336" s="266"/>
      <c r="AM336" s="70">
        <f t="shared" si="390"/>
        <v>918299.97505653836</v>
      </c>
      <c r="AN336" s="72"/>
      <c r="AO336" s="267"/>
      <c r="AP336" s="70">
        <f t="shared" si="391"/>
        <v>0</v>
      </c>
      <c r="AQ336" s="72"/>
      <c r="AR336" s="266"/>
      <c r="AS336" s="70">
        <f t="shared" si="392"/>
        <v>0</v>
      </c>
      <c r="AT336" s="178"/>
      <c r="AU336" s="267"/>
      <c r="AV336" s="70">
        <v>-921874.53115251334</v>
      </c>
      <c r="AW336" s="72"/>
      <c r="AX336" s="266"/>
      <c r="AY336" s="70">
        <v>-918299.97505653836</v>
      </c>
      <c r="AZ336" s="178"/>
      <c r="BA336" s="267"/>
      <c r="BB336" s="70"/>
      <c r="BC336" s="72"/>
      <c r="BD336" s="266"/>
      <c r="BE336" s="70"/>
      <c r="BF336" s="178"/>
      <c r="BG336" s="178"/>
      <c r="BH336" s="178"/>
      <c r="BI336" s="178"/>
      <c r="BJ336" s="178"/>
    </row>
    <row r="337" spans="3:62" x14ac:dyDescent="0.4">
      <c r="C337" s="56" t="s">
        <v>22</v>
      </c>
      <c r="D337" s="246"/>
      <c r="E337" s="266"/>
      <c r="F337" s="272">
        <f t="shared" si="394"/>
        <v>0.25</v>
      </c>
      <c r="G337" s="72"/>
      <c r="H337" s="266"/>
      <c r="I337" s="53"/>
      <c r="J337" s="72"/>
      <c r="K337" s="266"/>
      <c r="L337" s="53"/>
      <c r="M337" s="72"/>
      <c r="N337" s="266"/>
      <c r="O337" s="70"/>
      <c r="P337" s="72"/>
      <c r="Q337" s="266"/>
      <c r="R337" s="70"/>
      <c r="S337" s="72"/>
      <c r="T337" s="266"/>
      <c r="U337" s="70"/>
      <c r="V337" s="72"/>
      <c r="W337" s="266"/>
      <c r="X337" s="70"/>
      <c r="Y337" s="72"/>
      <c r="Z337" s="266"/>
      <c r="AA337" s="70"/>
      <c r="AB337" s="72"/>
      <c r="AC337" s="266"/>
      <c r="AD337" s="70"/>
      <c r="AE337" s="72"/>
      <c r="AF337" s="266"/>
      <c r="AG337" s="70"/>
      <c r="AH337" s="178"/>
      <c r="AI337" s="267"/>
      <c r="AJ337" s="70">
        <f t="shared" si="389"/>
        <v>113764.33069886327</v>
      </c>
      <c r="AK337" s="72"/>
      <c r="AL337" s="266"/>
      <c r="AM337" s="70">
        <f t="shared" si="390"/>
        <v>120877.6986044681</v>
      </c>
      <c r="AN337" s="72"/>
      <c r="AO337" s="267"/>
      <c r="AP337" s="70">
        <f t="shared" si="391"/>
        <v>0</v>
      </c>
      <c r="AQ337" s="72"/>
      <c r="AR337" s="266"/>
      <c r="AS337" s="70">
        <f t="shared" si="392"/>
        <v>0</v>
      </c>
      <c r="AT337" s="178"/>
      <c r="AU337" s="267"/>
      <c r="AV337" s="70">
        <v>-113764.33069886327</v>
      </c>
      <c r="AW337" s="72"/>
      <c r="AX337" s="266"/>
      <c r="AY337" s="70">
        <v>-120877.6986044681</v>
      </c>
      <c r="AZ337" s="178"/>
      <c r="BA337" s="267"/>
      <c r="BB337" s="70"/>
      <c r="BC337" s="72"/>
      <c r="BD337" s="266"/>
      <c r="BE337" s="70"/>
      <c r="BF337" s="178"/>
      <c r="BG337" s="178"/>
      <c r="BH337" s="178"/>
      <c r="BI337" s="178"/>
      <c r="BJ337" s="178"/>
    </row>
    <row r="338" spans="3:62" x14ac:dyDescent="0.4">
      <c r="C338" s="56" t="s">
        <v>23</v>
      </c>
      <c r="D338" s="246"/>
      <c r="E338" s="266"/>
      <c r="F338" s="272">
        <f t="shared" si="394"/>
        <v>0.25</v>
      </c>
      <c r="G338" s="72"/>
      <c r="H338" s="266"/>
      <c r="I338" s="53"/>
      <c r="J338" s="72"/>
      <c r="K338" s="266"/>
      <c r="L338" s="53"/>
      <c r="M338" s="72"/>
      <c r="N338" s="266"/>
      <c r="O338" s="70"/>
      <c r="P338" s="72"/>
      <c r="Q338" s="266"/>
      <c r="R338" s="70"/>
      <c r="S338" s="72"/>
      <c r="T338" s="266"/>
      <c r="U338" s="70"/>
      <c r="V338" s="72"/>
      <c r="W338" s="266"/>
      <c r="X338" s="70"/>
      <c r="Y338" s="72"/>
      <c r="Z338" s="266"/>
      <c r="AA338" s="70"/>
      <c r="AB338" s="72"/>
      <c r="AC338" s="266"/>
      <c r="AD338" s="70"/>
      <c r="AE338" s="72"/>
      <c r="AF338" s="266"/>
      <c r="AG338" s="70"/>
      <c r="AH338" s="178"/>
      <c r="AI338" s="267"/>
      <c r="AJ338" s="70">
        <f t="shared" si="389"/>
        <v>60505.058035701681</v>
      </c>
      <c r="AK338" s="72"/>
      <c r="AL338" s="266"/>
      <c r="AM338" s="70">
        <f t="shared" si="390"/>
        <v>62855.676061685357</v>
      </c>
      <c r="AN338" s="72"/>
      <c r="AO338" s="267"/>
      <c r="AP338" s="70">
        <f t="shared" si="391"/>
        <v>0</v>
      </c>
      <c r="AQ338" s="72"/>
      <c r="AR338" s="266"/>
      <c r="AS338" s="70">
        <f t="shared" si="392"/>
        <v>0</v>
      </c>
      <c r="AT338" s="178"/>
      <c r="AU338" s="267"/>
      <c r="AV338" s="70">
        <v>-60505.058035701681</v>
      </c>
      <c r="AW338" s="72"/>
      <c r="AX338" s="266"/>
      <c r="AY338" s="70">
        <v>-62855.676061685357</v>
      </c>
      <c r="AZ338" s="178"/>
      <c r="BA338" s="267"/>
      <c r="BB338" s="70"/>
      <c r="BC338" s="72"/>
      <c r="BD338" s="266"/>
      <c r="BE338" s="70"/>
      <c r="BF338" s="178"/>
      <c r="BG338" s="178"/>
      <c r="BH338" s="178"/>
      <c r="BI338" s="178"/>
      <c r="BJ338" s="178"/>
    </row>
    <row r="339" spans="3:62" x14ac:dyDescent="0.4">
      <c r="C339" s="56" t="s">
        <v>24</v>
      </c>
      <c r="D339" s="246"/>
      <c r="E339" s="266"/>
      <c r="F339" s="272">
        <f t="shared" si="394"/>
        <v>0.25</v>
      </c>
      <c r="G339" s="72"/>
      <c r="H339" s="266"/>
      <c r="I339" s="53"/>
      <c r="J339" s="72"/>
      <c r="K339" s="266"/>
      <c r="L339" s="53"/>
      <c r="M339" s="72"/>
      <c r="N339" s="266"/>
      <c r="O339" s="70"/>
      <c r="P339" s="72"/>
      <c r="Q339" s="266"/>
      <c r="R339" s="70"/>
      <c r="S339" s="72"/>
      <c r="T339" s="266"/>
      <c r="U339" s="70"/>
      <c r="V339" s="72"/>
      <c r="W339" s="266"/>
      <c r="X339" s="70"/>
      <c r="Y339" s="72"/>
      <c r="Z339" s="266"/>
      <c r="AA339" s="70"/>
      <c r="AB339" s="72"/>
      <c r="AC339" s="266"/>
      <c r="AD339" s="70"/>
      <c r="AE339" s="72"/>
      <c r="AF339" s="266"/>
      <c r="AG339" s="70"/>
      <c r="AH339" s="178"/>
      <c r="AI339" s="267"/>
      <c r="AJ339" s="70">
        <f t="shared" si="389"/>
        <v>772.21844714109034</v>
      </c>
      <c r="AK339" s="72"/>
      <c r="AL339" s="266"/>
      <c r="AM339" s="70">
        <f t="shared" si="390"/>
        <v>757.28851944407097</v>
      </c>
      <c r="AN339" s="72"/>
      <c r="AO339" s="267"/>
      <c r="AP339" s="70">
        <f t="shared" si="391"/>
        <v>0</v>
      </c>
      <c r="AQ339" s="72"/>
      <c r="AR339" s="266"/>
      <c r="AS339" s="70">
        <f t="shared" si="392"/>
        <v>0</v>
      </c>
      <c r="AT339" s="178"/>
      <c r="AU339" s="267"/>
      <c r="AV339" s="70">
        <v>-772.21844714109034</v>
      </c>
      <c r="AW339" s="72"/>
      <c r="AX339" s="266"/>
      <c r="AY339" s="70">
        <v>-757.28851944407097</v>
      </c>
      <c r="AZ339" s="178"/>
      <c r="BA339" s="267"/>
      <c r="BB339" s="70"/>
      <c r="BC339" s="72"/>
      <c r="BD339" s="266"/>
      <c r="BE339" s="70"/>
      <c r="BF339" s="178"/>
      <c r="BG339" s="178"/>
      <c r="BH339" s="178"/>
      <c r="BI339" s="178"/>
      <c r="BJ339" s="178"/>
    </row>
    <row r="340" spans="3:62" x14ac:dyDescent="0.4">
      <c r="C340" s="56"/>
      <c r="D340" s="246"/>
      <c r="E340" s="266"/>
      <c r="F340" s="70"/>
      <c r="G340" s="72"/>
      <c r="H340" s="266"/>
      <c r="I340" s="53"/>
      <c r="J340" s="72"/>
      <c r="K340" s="266"/>
      <c r="L340" s="53"/>
      <c r="M340" s="72"/>
      <c r="N340" s="266"/>
      <c r="O340" s="70"/>
      <c r="P340" s="72"/>
      <c r="Q340" s="266"/>
      <c r="R340" s="70"/>
      <c r="S340" s="72"/>
      <c r="T340" s="266"/>
      <c r="U340" s="70"/>
      <c r="V340" s="72"/>
      <c r="W340" s="266"/>
      <c r="X340" s="70"/>
      <c r="Y340" s="72"/>
      <c r="Z340" s="266"/>
      <c r="AA340" s="70"/>
      <c r="AB340" s="72"/>
      <c r="AC340" s="266"/>
      <c r="AD340" s="70"/>
      <c r="AE340" s="72"/>
      <c r="AF340" s="266"/>
      <c r="AG340" s="70"/>
      <c r="AH340" s="178"/>
      <c r="AI340" s="267"/>
      <c r="AJ340" s="70">
        <f t="shared" si="389"/>
        <v>0</v>
      </c>
      <c r="AK340" s="72"/>
      <c r="AL340" s="266"/>
      <c r="AM340" s="70">
        <f t="shared" si="390"/>
        <v>0</v>
      </c>
      <c r="AN340" s="72"/>
      <c r="AO340" s="267"/>
      <c r="AP340" s="70">
        <f t="shared" si="391"/>
        <v>0</v>
      </c>
      <c r="AQ340" s="72"/>
      <c r="AR340" s="266"/>
      <c r="AS340" s="70">
        <f t="shared" si="392"/>
        <v>0</v>
      </c>
      <c r="AT340" s="178"/>
      <c r="AU340" s="267"/>
      <c r="AV340" s="70"/>
      <c r="AW340" s="72"/>
      <c r="AX340" s="266"/>
      <c r="AY340" s="70"/>
      <c r="AZ340" s="178"/>
      <c r="BA340" s="267"/>
      <c r="BB340" s="70"/>
      <c r="BC340" s="72"/>
      <c r="BD340" s="266"/>
      <c r="BE340" s="70"/>
      <c r="BF340" s="178"/>
      <c r="BG340" s="178"/>
      <c r="BH340" s="178"/>
      <c r="BI340" s="178"/>
      <c r="BJ340" s="178"/>
    </row>
    <row r="341" spans="3:62" x14ac:dyDescent="0.4">
      <c r="C341" s="56"/>
      <c r="D341" s="246"/>
      <c r="E341" s="266"/>
      <c r="F341" s="70"/>
      <c r="G341" s="72"/>
      <c r="H341" s="266"/>
      <c r="I341" s="53"/>
      <c r="J341" s="72"/>
      <c r="K341" s="266"/>
      <c r="L341" s="53"/>
      <c r="M341" s="72"/>
      <c r="N341" s="266"/>
      <c r="O341" s="70"/>
      <c r="P341" s="72"/>
      <c r="Q341" s="266"/>
      <c r="R341" s="70"/>
      <c r="S341" s="72"/>
      <c r="T341" s="266"/>
      <c r="U341" s="70"/>
      <c r="V341" s="72"/>
      <c r="W341" s="266"/>
      <c r="X341" s="70"/>
      <c r="Y341" s="72"/>
      <c r="Z341" s="266"/>
      <c r="AA341" s="70"/>
      <c r="AB341" s="72"/>
      <c r="AC341" s="266"/>
      <c r="AD341" s="70"/>
      <c r="AE341" s="72"/>
      <c r="AF341" s="266"/>
      <c r="AG341" s="70"/>
      <c r="AH341" s="178"/>
      <c r="AI341" s="267"/>
      <c r="AJ341" s="70">
        <f t="shared" si="389"/>
        <v>0</v>
      </c>
      <c r="AK341" s="72"/>
      <c r="AL341" s="266"/>
      <c r="AM341" s="70">
        <f t="shared" si="390"/>
        <v>0</v>
      </c>
      <c r="AN341" s="72"/>
      <c r="AO341" s="267"/>
      <c r="AP341" s="70">
        <f t="shared" si="391"/>
        <v>0</v>
      </c>
      <c r="AQ341" s="72"/>
      <c r="AR341" s="266"/>
      <c r="AS341" s="70">
        <f t="shared" si="392"/>
        <v>0</v>
      </c>
      <c r="AT341" s="178"/>
      <c r="AU341" s="267"/>
      <c r="AV341" s="70"/>
      <c r="AW341" s="72"/>
      <c r="AX341" s="266"/>
      <c r="AY341" s="70"/>
      <c r="AZ341" s="178"/>
      <c r="BA341" s="267"/>
      <c r="BB341" s="70"/>
      <c r="BC341" s="72"/>
      <c r="BD341" s="266"/>
      <c r="BE341" s="70"/>
      <c r="BF341" s="178"/>
      <c r="BG341" s="178"/>
      <c r="BH341" s="178"/>
      <c r="BI341" s="178"/>
      <c r="BJ341" s="178"/>
    </row>
    <row r="342" spans="3:62" x14ac:dyDescent="0.4">
      <c r="C342" s="56"/>
      <c r="D342" s="246"/>
      <c r="E342" s="266"/>
      <c r="F342" s="70"/>
      <c r="G342" s="72"/>
      <c r="H342" s="266"/>
      <c r="I342" s="53"/>
      <c r="J342" s="72"/>
      <c r="K342" s="266"/>
      <c r="L342" s="53"/>
      <c r="M342" s="72"/>
      <c r="N342" s="266"/>
      <c r="O342" s="70"/>
      <c r="P342" s="72"/>
      <c r="Q342" s="266"/>
      <c r="R342" s="70"/>
      <c r="S342" s="72"/>
      <c r="T342" s="266"/>
      <c r="U342" s="70"/>
      <c r="V342" s="72"/>
      <c r="W342" s="266"/>
      <c r="X342" s="70"/>
      <c r="Y342" s="72"/>
      <c r="Z342" s="266"/>
      <c r="AA342" s="70"/>
      <c r="AB342" s="72"/>
      <c r="AC342" s="266"/>
      <c r="AD342" s="70"/>
      <c r="AE342" s="72"/>
      <c r="AF342" s="266"/>
      <c r="AG342" s="70"/>
      <c r="AH342" s="178"/>
      <c r="AI342" s="267"/>
      <c r="AJ342" s="70">
        <f t="shared" si="389"/>
        <v>0</v>
      </c>
      <c r="AK342" s="72"/>
      <c r="AL342" s="266"/>
      <c r="AM342" s="70">
        <f t="shared" si="390"/>
        <v>0</v>
      </c>
      <c r="AN342" s="72"/>
      <c r="AO342" s="267"/>
      <c r="AP342" s="70">
        <f t="shared" si="391"/>
        <v>0</v>
      </c>
      <c r="AQ342" s="72"/>
      <c r="AR342" s="266"/>
      <c r="AS342" s="70">
        <f t="shared" si="392"/>
        <v>0</v>
      </c>
      <c r="AT342" s="178"/>
      <c r="AU342" s="267"/>
      <c r="AV342" s="70"/>
      <c r="AW342" s="72"/>
      <c r="AX342" s="266"/>
      <c r="AY342" s="70"/>
      <c r="AZ342" s="178"/>
      <c r="BA342" s="267"/>
      <c r="BB342" s="70"/>
      <c r="BC342" s="72"/>
      <c r="BD342" s="266"/>
      <c r="BE342" s="70"/>
      <c r="BF342" s="178"/>
      <c r="BG342" s="178"/>
      <c r="BH342" s="178"/>
      <c r="BI342" s="178"/>
      <c r="BJ342" s="178"/>
    </row>
    <row r="343" spans="3:62" x14ac:dyDescent="0.4">
      <c r="C343" s="56"/>
      <c r="D343" s="246"/>
      <c r="E343" s="266"/>
      <c r="F343" s="70"/>
      <c r="G343" s="72"/>
      <c r="H343" s="266"/>
      <c r="I343" s="53"/>
      <c r="J343" s="72"/>
      <c r="K343" s="266"/>
      <c r="L343" s="53"/>
      <c r="M343" s="72"/>
      <c r="N343" s="266"/>
      <c r="O343" s="70"/>
      <c r="P343" s="72"/>
      <c r="Q343" s="266"/>
      <c r="R343" s="70"/>
      <c r="S343" s="72"/>
      <c r="T343" s="266"/>
      <c r="U343" s="70"/>
      <c r="V343" s="72"/>
      <c r="W343" s="266"/>
      <c r="X343" s="70"/>
      <c r="Y343" s="72"/>
      <c r="Z343" s="266"/>
      <c r="AA343" s="70"/>
      <c r="AB343" s="72"/>
      <c r="AC343" s="266"/>
      <c r="AD343" s="70"/>
      <c r="AE343" s="72"/>
      <c r="AF343" s="266"/>
      <c r="AG343" s="70"/>
      <c r="AH343" s="178"/>
      <c r="AI343" s="267"/>
      <c r="AJ343" s="70">
        <f t="shared" si="389"/>
        <v>0</v>
      </c>
      <c r="AK343" s="72"/>
      <c r="AL343" s="266"/>
      <c r="AM343" s="70">
        <f t="shared" si="390"/>
        <v>0</v>
      </c>
      <c r="AN343" s="72"/>
      <c r="AO343" s="267"/>
      <c r="AP343" s="70">
        <f t="shared" si="391"/>
        <v>0</v>
      </c>
      <c r="AQ343" s="72"/>
      <c r="AR343" s="266"/>
      <c r="AS343" s="70">
        <f t="shared" si="392"/>
        <v>0</v>
      </c>
      <c r="AT343" s="178"/>
      <c r="AU343" s="267"/>
      <c r="AV343" s="70"/>
      <c r="AW343" s="72"/>
      <c r="AX343" s="266"/>
      <c r="AY343" s="70"/>
      <c r="AZ343" s="178"/>
      <c r="BA343" s="267"/>
      <c r="BB343" s="70"/>
      <c r="BC343" s="72"/>
      <c r="BD343" s="266"/>
      <c r="BE343" s="70"/>
      <c r="BF343" s="178"/>
      <c r="BG343" s="178"/>
      <c r="BH343" s="178"/>
      <c r="BI343" s="178"/>
      <c r="BJ343" s="178"/>
    </row>
    <row r="344" spans="3:62" x14ac:dyDescent="0.4">
      <c r="C344" s="56"/>
      <c r="D344" s="246"/>
      <c r="E344" s="266"/>
      <c r="F344" s="70"/>
      <c r="G344" s="72"/>
      <c r="H344" s="266"/>
      <c r="I344" s="53"/>
      <c r="J344" s="72"/>
      <c r="K344" s="266"/>
      <c r="L344" s="53"/>
      <c r="M344" s="72"/>
      <c r="N344" s="266"/>
      <c r="O344" s="70"/>
      <c r="P344" s="72"/>
      <c r="Q344" s="266"/>
      <c r="R344" s="70"/>
      <c r="S344" s="72"/>
      <c r="T344" s="266"/>
      <c r="U344" s="70"/>
      <c r="V344" s="72"/>
      <c r="W344" s="266"/>
      <c r="X344" s="70"/>
      <c r="Y344" s="72"/>
      <c r="Z344" s="266"/>
      <c r="AA344" s="70"/>
      <c r="AB344" s="72"/>
      <c r="AC344" s="266"/>
      <c r="AD344" s="70"/>
      <c r="AE344" s="72"/>
      <c r="AF344" s="266"/>
      <c r="AG344" s="70"/>
      <c r="AH344" s="178"/>
      <c r="AI344" s="267"/>
      <c r="AJ344" s="70">
        <f t="shared" si="389"/>
        <v>0</v>
      </c>
      <c r="AK344" s="72"/>
      <c r="AL344" s="266"/>
      <c r="AM344" s="70">
        <f t="shared" si="390"/>
        <v>0</v>
      </c>
      <c r="AN344" s="72"/>
      <c r="AO344" s="267"/>
      <c r="AP344" s="70">
        <f t="shared" si="391"/>
        <v>0</v>
      </c>
      <c r="AQ344" s="72"/>
      <c r="AR344" s="266"/>
      <c r="AS344" s="70">
        <f t="shared" si="392"/>
        <v>0</v>
      </c>
      <c r="AT344" s="178"/>
      <c r="AU344" s="267"/>
      <c r="AV344" s="70"/>
      <c r="AW344" s="72"/>
      <c r="AX344" s="266"/>
      <c r="AY344" s="70"/>
      <c r="AZ344" s="178"/>
      <c r="BA344" s="267"/>
      <c r="BB344" s="70"/>
      <c r="BC344" s="72"/>
      <c r="BD344" s="266"/>
      <c r="BE344" s="70"/>
      <c r="BF344" s="178"/>
      <c r="BG344" s="178"/>
      <c r="BH344" s="178"/>
      <c r="BI344" s="178"/>
      <c r="BJ344" s="178"/>
    </row>
    <row r="345" spans="3:62" x14ac:dyDescent="0.4">
      <c r="C345" s="56"/>
      <c r="D345" s="246"/>
      <c r="E345" s="266"/>
      <c r="F345" s="70"/>
      <c r="G345" s="72"/>
      <c r="H345" s="266"/>
      <c r="I345" s="53"/>
      <c r="J345" s="72"/>
      <c r="K345" s="266"/>
      <c r="L345" s="53"/>
      <c r="M345" s="72"/>
      <c r="N345" s="266"/>
      <c r="O345" s="70"/>
      <c r="P345" s="72"/>
      <c r="Q345" s="266"/>
      <c r="R345" s="70"/>
      <c r="S345" s="72"/>
      <c r="T345" s="266"/>
      <c r="U345" s="70"/>
      <c r="V345" s="72"/>
      <c r="W345" s="266"/>
      <c r="X345" s="70"/>
      <c r="Y345" s="72"/>
      <c r="Z345" s="266"/>
      <c r="AA345" s="70"/>
      <c r="AB345" s="72"/>
      <c r="AC345" s="266"/>
      <c r="AD345" s="70"/>
      <c r="AE345" s="72"/>
      <c r="AF345" s="266"/>
      <c r="AG345" s="70"/>
      <c r="AH345" s="178"/>
      <c r="AI345" s="267"/>
      <c r="AJ345" s="70">
        <f t="shared" si="389"/>
        <v>0</v>
      </c>
      <c r="AK345" s="72"/>
      <c r="AL345" s="266"/>
      <c r="AM345" s="70">
        <f t="shared" si="390"/>
        <v>0</v>
      </c>
      <c r="AN345" s="72"/>
      <c r="AO345" s="267"/>
      <c r="AP345" s="70">
        <f t="shared" si="391"/>
        <v>0</v>
      </c>
      <c r="AQ345" s="72"/>
      <c r="AR345" s="266"/>
      <c r="AS345" s="70">
        <f t="shared" si="392"/>
        <v>0</v>
      </c>
      <c r="AT345" s="178"/>
      <c r="AU345" s="267"/>
      <c r="AV345" s="70"/>
      <c r="AW345" s="72"/>
      <c r="AX345" s="266"/>
      <c r="AY345" s="70"/>
      <c r="AZ345" s="178"/>
      <c r="BA345" s="267"/>
      <c r="BB345" s="70"/>
      <c r="BC345" s="72"/>
      <c r="BD345" s="266"/>
      <c r="BE345" s="70"/>
      <c r="BF345" s="178"/>
      <c r="BG345" s="178"/>
      <c r="BH345" s="178"/>
      <c r="BI345" s="178"/>
      <c r="BJ345" s="178"/>
    </row>
    <row r="346" spans="3:62" x14ac:dyDescent="0.4">
      <c r="C346" s="56"/>
      <c r="D346" s="246"/>
      <c r="E346" s="266"/>
      <c r="F346" s="70"/>
      <c r="G346" s="72"/>
      <c r="H346" s="266"/>
      <c r="I346" s="53"/>
      <c r="J346" s="72"/>
      <c r="K346" s="266"/>
      <c r="L346" s="53"/>
      <c r="M346" s="72"/>
      <c r="N346" s="266"/>
      <c r="O346" s="273"/>
      <c r="P346" s="72"/>
      <c r="Q346" s="266"/>
      <c r="R346" s="70"/>
      <c r="S346" s="72"/>
      <c r="T346" s="266"/>
      <c r="U346" s="70"/>
      <c r="V346" s="72"/>
      <c r="W346" s="266"/>
      <c r="X346" s="70"/>
      <c r="Y346" s="72"/>
      <c r="Z346" s="266"/>
      <c r="AA346" s="70"/>
      <c r="AB346" s="72"/>
      <c r="AC346" s="266"/>
      <c r="AD346" s="70"/>
      <c r="AE346" s="72"/>
      <c r="AF346" s="266"/>
      <c r="AG346" s="70"/>
      <c r="AH346" s="178"/>
      <c r="AI346" s="267"/>
      <c r="AJ346" s="70">
        <f t="shared" si="389"/>
        <v>0</v>
      </c>
      <c r="AK346" s="72"/>
      <c r="AL346" s="266"/>
      <c r="AM346" s="70">
        <f t="shared" si="390"/>
        <v>0</v>
      </c>
      <c r="AN346" s="72"/>
      <c r="AO346" s="267"/>
      <c r="AP346" s="70">
        <f t="shared" si="391"/>
        <v>0</v>
      </c>
      <c r="AQ346" s="72"/>
      <c r="AR346" s="266"/>
      <c r="AS346" s="70">
        <f t="shared" si="392"/>
        <v>0</v>
      </c>
      <c r="AT346" s="178"/>
      <c r="AU346" s="267"/>
      <c r="AV346" s="70"/>
      <c r="AW346" s="72"/>
      <c r="AX346" s="266"/>
      <c r="AY346" s="70"/>
      <c r="AZ346" s="178"/>
      <c r="BA346" s="267"/>
      <c r="BB346" s="273"/>
      <c r="BC346" s="72"/>
      <c r="BD346" s="266"/>
      <c r="BE346" s="273"/>
      <c r="BF346" s="178"/>
      <c r="BG346" s="178"/>
      <c r="BH346" s="178"/>
      <c r="BI346" s="178"/>
      <c r="BJ346" s="178"/>
    </row>
    <row r="347" spans="3:62" x14ac:dyDescent="0.4">
      <c r="C347" s="56"/>
      <c r="D347" s="246"/>
      <c r="E347" s="266"/>
      <c r="F347" s="70"/>
      <c r="G347" s="72"/>
      <c r="H347" s="266"/>
      <c r="I347" s="53"/>
      <c r="J347" s="72"/>
      <c r="K347" s="266"/>
      <c r="L347" s="53"/>
      <c r="M347" s="72"/>
      <c r="N347" s="266"/>
      <c r="O347" s="70"/>
      <c r="P347" s="72"/>
      <c r="Q347" s="266"/>
      <c r="R347" s="70"/>
      <c r="S347" s="72"/>
      <c r="T347" s="266"/>
      <c r="U347" s="70"/>
      <c r="V347" s="72"/>
      <c r="W347" s="266"/>
      <c r="X347" s="70"/>
      <c r="Y347" s="72"/>
      <c r="Z347" s="266"/>
      <c r="AA347" s="70"/>
      <c r="AB347" s="72"/>
      <c r="AC347" s="266"/>
      <c r="AD347" s="70"/>
      <c r="AE347" s="72"/>
      <c r="AF347" s="266"/>
      <c r="AG347" s="70"/>
      <c r="AH347" s="178"/>
      <c r="AI347" s="267"/>
      <c r="AJ347" s="70"/>
      <c r="AK347" s="72"/>
      <c r="AL347" s="266"/>
      <c r="AM347" s="70"/>
      <c r="AN347" s="72"/>
      <c r="AO347" s="267"/>
      <c r="AP347" s="70"/>
      <c r="AQ347" s="72"/>
      <c r="AR347" s="266"/>
      <c r="AS347" s="70"/>
      <c r="AT347" s="178"/>
      <c r="AU347" s="267"/>
      <c r="AV347" s="70"/>
      <c r="AW347" s="72"/>
      <c r="AX347" s="266"/>
      <c r="AY347" s="70"/>
      <c r="AZ347" s="178"/>
      <c r="BA347" s="267"/>
      <c r="BB347" s="70"/>
      <c r="BC347" s="72"/>
      <c r="BD347" s="266"/>
      <c r="BE347" s="70"/>
      <c r="BF347" s="178"/>
      <c r="BG347" s="178"/>
      <c r="BH347" s="178"/>
      <c r="BI347" s="178"/>
      <c r="BJ347" s="178"/>
    </row>
    <row r="348" spans="3:62" x14ac:dyDescent="0.4">
      <c r="C348" s="56"/>
      <c r="D348" s="246"/>
      <c r="E348" s="266"/>
      <c r="F348" s="70"/>
      <c r="G348" s="72"/>
      <c r="H348" s="266"/>
      <c r="I348" s="53"/>
      <c r="J348" s="72"/>
      <c r="K348" s="266"/>
      <c r="L348" s="53"/>
      <c r="M348" s="72"/>
      <c r="N348" s="266"/>
      <c r="O348" s="70"/>
      <c r="P348" s="72"/>
      <c r="Q348" s="266"/>
      <c r="R348" s="70"/>
      <c r="S348" s="72"/>
      <c r="T348" s="266"/>
      <c r="U348" s="70"/>
      <c r="V348" s="72"/>
      <c r="W348" s="266"/>
      <c r="X348" s="70"/>
      <c r="Y348" s="72"/>
      <c r="Z348" s="266"/>
      <c r="AA348" s="70"/>
      <c r="AB348" s="72"/>
      <c r="AC348" s="266"/>
      <c r="AD348" s="70"/>
      <c r="AE348" s="72"/>
      <c r="AF348" s="266"/>
      <c r="AG348" s="70"/>
      <c r="AH348" s="178"/>
      <c r="AI348" s="267"/>
      <c r="AJ348" s="70"/>
      <c r="AK348" s="72"/>
      <c r="AL348" s="266"/>
      <c r="AM348" s="70"/>
      <c r="AN348" s="72"/>
      <c r="AO348" s="267"/>
      <c r="AP348" s="70"/>
      <c r="AQ348" s="72"/>
      <c r="AR348" s="266"/>
      <c r="AS348" s="70"/>
      <c r="AT348" s="178"/>
      <c r="AU348" s="267"/>
      <c r="AV348" s="70"/>
      <c r="AW348" s="72"/>
      <c r="AX348" s="266"/>
      <c r="AY348" s="70"/>
      <c r="AZ348" s="178"/>
      <c r="BA348" s="267"/>
      <c r="BB348" s="70"/>
      <c r="BC348" s="72"/>
      <c r="BD348" s="266"/>
      <c r="BE348" s="70"/>
      <c r="BF348" s="178"/>
      <c r="BG348" s="178"/>
      <c r="BH348" s="178"/>
      <c r="BI348" s="178"/>
      <c r="BJ348" s="178"/>
    </row>
    <row r="349" spans="3:62" x14ac:dyDescent="0.4">
      <c r="C349" s="56"/>
      <c r="D349" s="246"/>
      <c r="E349" s="266"/>
      <c r="F349" s="70"/>
      <c r="G349" s="72"/>
      <c r="H349" s="266"/>
      <c r="I349" s="53"/>
      <c r="J349" s="72"/>
      <c r="K349" s="266"/>
      <c r="L349" s="53"/>
      <c r="M349" s="72"/>
      <c r="N349" s="266"/>
      <c r="O349" s="70"/>
      <c r="P349" s="72"/>
      <c r="Q349" s="266"/>
      <c r="R349" s="70"/>
      <c r="S349" s="72"/>
      <c r="T349" s="266"/>
      <c r="U349" s="70"/>
      <c r="V349" s="72"/>
      <c r="W349" s="266"/>
      <c r="X349" s="70"/>
      <c r="Y349" s="72"/>
      <c r="Z349" s="266"/>
      <c r="AA349" s="70"/>
      <c r="AB349" s="72"/>
      <c r="AC349" s="266"/>
      <c r="AD349" s="70"/>
      <c r="AE349" s="72"/>
      <c r="AF349" s="266"/>
      <c r="AG349" s="70"/>
      <c r="AH349" s="178"/>
      <c r="AI349" s="267"/>
      <c r="AJ349" s="70"/>
      <c r="AK349" s="72"/>
      <c r="AL349" s="266"/>
      <c r="AM349" s="70"/>
      <c r="AN349" s="72"/>
      <c r="AO349" s="267"/>
      <c r="AP349" s="70"/>
      <c r="AQ349" s="72"/>
      <c r="AR349" s="266"/>
      <c r="AS349" s="70"/>
      <c r="AT349" s="178"/>
      <c r="AU349" s="267"/>
      <c r="AV349" s="70"/>
      <c r="AW349" s="72"/>
      <c r="AX349" s="266"/>
      <c r="AY349" s="70"/>
      <c r="AZ349" s="178"/>
      <c r="BA349" s="267"/>
      <c r="BB349" s="70"/>
      <c r="BC349" s="72"/>
      <c r="BD349" s="266"/>
      <c r="BE349" s="70"/>
      <c r="BF349" s="178"/>
      <c r="BG349" s="178"/>
      <c r="BH349" s="178"/>
      <c r="BI349" s="178"/>
      <c r="BJ349" s="178"/>
    </row>
    <row r="350" spans="3:62" ht="14.25" thickBot="1" x14ac:dyDescent="0.45">
      <c r="C350" s="64" t="s">
        <v>25</v>
      </c>
      <c r="D350" s="65"/>
      <c r="E350" s="251"/>
      <c r="F350" s="70"/>
      <c r="G350" s="54"/>
      <c r="H350" s="251"/>
      <c r="I350" s="70"/>
      <c r="J350" s="54"/>
      <c r="K350" s="266"/>
      <c r="L350" s="70"/>
      <c r="M350" s="54"/>
      <c r="N350" s="253"/>
      <c r="O350" s="208">
        <f>SUM(O313:O349)</f>
        <v>-10855826.973598793</v>
      </c>
      <c r="P350" s="54"/>
      <c r="Q350" s="266"/>
      <c r="R350" s="208">
        <f>SUM(R313:R349)</f>
        <v>-10659053.067995375</v>
      </c>
      <c r="S350" s="54"/>
      <c r="T350" s="251"/>
      <c r="U350" s="208">
        <f>SUM(U313:U349)</f>
        <v>-11427179.874496548</v>
      </c>
      <c r="V350" s="54"/>
      <c r="W350" s="251"/>
      <c r="X350" s="208">
        <f>SUM(X313:X349)</f>
        <v>-11512915.699549906</v>
      </c>
      <c r="Y350" s="54"/>
      <c r="Z350" s="251"/>
      <c r="AA350" s="208">
        <f>SUM(AA313:AA349)</f>
        <v>-11550541.88721473</v>
      </c>
      <c r="AB350" s="54"/>
      <c r="AC350" s="251"/>
      <c r="AD350" s="208">
        <f>SUM(AD313:AD349)</f>
        <v>0</v>
      </c>
      <c r="AE350" s="54"/>
      <c r="AF350" s="251"/>
      <c r="AG350" s="208">
        <f>SUM(AG313:AG349)</f>
        <v>0</v>
      </c>
      <c r="AH350" s="178"/>
      <c r="AI350" s="132"/>
      <c r="AJ350" s="208">
        <f t="shared" ref="AJ350" si="395">AD350-AV350</f>
        <v>31248398.229928184</v>
      </c>
      <c r="AK350" s="54"/>
      <c r="AL350" s="251"/>
      <c r="AM350" s="208">
        <f t="shared" ref="AM350" si="396">AG350-AY350</f>
        <v>31821505.815268893</v>
      </c>
      <c r="AN350" s="54"/>
      <c r="AO350" s="132"/>
      <c r="AP350" s="208">
        <f>AD350-BB350</f>
        <v>11731907.54200099</v>
      </c>
      <c r="AQ350" s="54"/>
      <c r="AR350" s="251"/>
      <c r="AS350" s="208">
        <f>AG350-BE350</f>
        <v>11929047.635281689</v>
      </c>
      <c r="AT350" s="178"/>
      <c r="AU350" s="132"/>
      <c r="AV350" s="208">
        <v>-31248398.229928184</v>
      </c>
      <c r="AW350" s="54"/>
      <c r="AX350" s="251"/>
      <c r="AY350" s="208">
        <v>-31821505.815268893</v>
      </c>
      <c r="AZ350" s="178"/>
      <c r="BA350" s="132"/>
      <c r="BB350" s="208">
        <v>-11731907.54200099</v>
      </c>
      <c r="BC350" s="54"/>
      <c r="BD350" s="251"/>
      <c r="BE350" s="208">
        <v>-11929047.635281689</v>
      </c>
      <c r="BF350" s="178"/>
      <c r="BG350" s="178"/>
      <c r="BH350" s="178"/>
      <c r="BI350" s="178"/>
      <c r="BJ350" s="178"/>
    </row>
    <row r="351" spans="3:62" ht="14.25" thickTop="1" x14ac:dyDescent="0.4">
      <c r="C351" s="217"/>
      <c r="D351" s="218"/>
      <c r="E351" s="251"/>
      <c r="F351" s="53"/>
      <c r="G351" s="54"/>
      <c r="H351" s="251"/>
      <c r="I351" s="53"/>
      <c r="J351" s="54"/>
      <c r="K351" s="266"/>
      <c r="L351" s="53"/>
      <c r="M351" s="54"/>
      <c r="N351" s="143"/>
      <c r="O351" s="53"/>
      <c r="P351" s="54"/>
      <c r="Q351" s="266"/>
      <c r="R351" s="53"/>
      <c r="S351" s="54"/>
      <c r="T351" s="251"/>
      <c r="U351" s="53"/>
      <c r="V351" s="54"/>
      <c r="W351" s="251"/>
      <c r="X351" s="53"/>
      <c r="Y351" s="54"/>
      <c r="Z351" s="251"/>
      <c r="AA351" s="53"/>
      <c r="AB351" s="54"/>
      <c r="AC351" s="251"/>
      <c r="AD351" s="53"/>
      <c r="AE351" s="54"/>
      <c r="AF351" s="251"/>
      <c r="AG351" s="53"/>
      <c r="AH351" s="178"/>
      <c r="AI351" s="132"/>
      <c r="AJ351" s="53"/>
      <c r="AK351" s="54"/>
      <c r="AL351" s="251"/>
      <c r="AM351" s="53"/>
      <c r="AN351" s="54"/>
      <c r="AO351" s="132"/>
      <c r="AP351" s="53"/>
      <c r="AQ351" s="54"/>
      <c r="AR351" s="251"/>
      <c r="AS351" s="53"/>
      <c r="AT351" s="178"/>
      <c r="AU351" s="132"/>
      <c r="AV351" s="53"/>
      <c r="AW351" s="54"/>
      <c r="AX351" s="251"/>
      <c r="AY351" s="53"/>
      <c r="AZ351" s="178"/>
      <c r="BA351" s="132"/>
      <c r="BB351" s="53"/>
      <c r="BC351" s="54"/>
      <c r="BD351" s="251"/>
      <c r="BE351" s="53"/>
      <c r="BF351" s="178"/>
      <c r="BG351" s="178"/>
      <c r="BH351" s="178"/>
      <c r="BI351" s="178"/>
      <c r="BJ351" s="178"/>
    </row>
    <row r="352" spans="3:62" x14ac:dyDescent="0.4">
      <c r="C352" s="39"/>
      <c r="D352" s="39"/>
      <c r="E352" s="251"/>
      <c r="F352" s="53"/>
      <c r="G352" s="54"/>
      <c r="H352" s="251"/>
      <c r="I352" s="53"/>
      <c r="J352" s="54"/>
      <c r="K352" s="266"/>
      <c r="L352" s="53"/>
      <c r="M352" s="54"/>
      <c r="N352" s="251"/>
      <c r="O352" s="53"/>
      <c r="P352" s="54"/>
      <c r="Q352" s="266"/>
      <c r="R352" s="53"/>
      <c r="S352" s="54"/>
      <c r="T352" s="251"/>
      <c r="U352" s="53"/>
      <c r="V352" s="54"/>
      <c r="W352" s="251"/>
      <c r="X352" s="53"/>
      <c r="Y352" s="54"/>
      <c r="Z352" s="251"/>
      <c r="AA352" s="53"/>
      <c r="AB352" s="54"/>
      <c r="AC352" s="251"/>
      <c r="AD352" s="53"/>
      <c r="AE352" s="54"/>
      <c r="AF352" s="251"/>
      <c r="AG352" s="53"/>
      <c r="AH352" s="178"/>
      <c r="AI352" s="132"/>
      <c r="AJ352" s="53"/>
      <c r="AK352" s="54"/>
      <c r="AL352" s="251"/>
      <c r="AM352" s="53"/>
      <c r="AN352" s="54"/>
      <c r="AO352" s="132"/>
      <c r="AP352" s="53"/>
      <c r="AQ352" s="54"/>
      <c r="AR352" s="251"/>
      <c r="AS352" s="53"/>
      <c r="AT352" s="178"/>
      <c r="AU352" s="132"/>
      <c r="AV352" s="53"/>
      <c r="AW352" s="54"/>
      <c r="AX352" s="251"/>
      <c r="AY352" s="53"/>
      <c r="AZ352" s="178"/>
      <c r="BA352" s="132"/>
      <c r="BB352" s="53"/>
      <c r="BC352" s="54"/>
      <c r="BD352" s="251"/>
      <c r="BE352" s="53"/>
      <c r="BF352" s="178"/>
      <c r="BG352" s="178"/>
      <c r="BH352" s="178"/>
      <c r="BI352" s="178"/>
      <c r="BJ352" s="178"/>
    </row>
    <row r="353" spans="3:62" ht="14.25" thickBot="1" x14ac:dyDescent="0.45">
      <c r="C353" s="39" t="s">
        <v>108</v>
      </c>
      <c r="D353" s="39"/>
      <c r="E353" s="52"/>
      <c r="F353" s="53"/>
      <c r="G353" s="54"/>
      <c r="H353" s="20"/>
      <c r="I353" s="53"/>
      <c r="J353" s="54"/>
      <c r="K353" s="20"/>
      <c r="L353" s="53"/>
      <c r="M353" s="54"/>
      <c r="N353" s="20"/>
      <c r="O353" s="53"/>
      <c r="P353" s="54"/>
      <c r="Q353" s="266"/>
      <c r="R353" s="70"/>
      <c r="S353" s="54"/>
      <c r="T353" s="20"/>
      <c r="U353" s="53"/>
      <c r="V353" s="54"/>
      <c r="W353" s="20"/>
      <c r="X353" s="53"/>
      <c r="Y353" s="54"/>
      <c r="Z353" s="20"/>
      <c r="AA353" s="208">
        <f>SUM(AA350,AA309,AA302,AA291,AA280,AA269,AA258,AA247,AA236)</f>
        <v>120330773.00544786</v>
      </c>
      <c r="AB353" s="54"/>
      <c r="AC353" s="20"/>
      <c r="AD353" s="208">
        <f>SUM(AD350,AD309,AD302,AD291,AD280,AD269,AD258,AD247,AD236)</f>
        <v>128885747.37944461</v>
      </c>
      <c r="AE353" s="54"/>
      <c r="AF353" s="20"/>
      <c r="AG353" s="208">
        <f>SUM(AG350,AG309,AG302,AG291,AG280,AG269,AG258,AG247,AG236)</f>
        <v>129363002.01524566</v>
      </c>
      <c r="AH353" s="178"/>
      <c r="AI353" s="69"/>
      <c r="AJ353" s="208">
        <f>SUM(AJ350,AJ309,AJ302,AJ291,AJ280,AJ269,AJ258,AJ247,AJ236)</f>
        <v>16132815.728079326</v>
      </c>
      <c r="AK353" s="54"/>
      <c r="AL353" s="20"/>
      <c r="AM353" s="208">
        <f>SUM(AM350,AM309,AM302,AM291,AM280,AM269,AM258,AM247,AM236)</f>
        <v>14622664.316238046</v>
      </c>
      <c r="AN353" s="54"/>
      <c r="AO353" s="69"/>
      <c r="AP353" s="208">
        <f>SUM(AP350,AP309,AP302,AP291,AP280,AP269,AP258,AP247,AP236)</f>
        <v>5657779.0432735644</v>
      </c>
      <c r="AQ353" s="54"/>
      <c r="AR353" s="20"/>
      <c r="AS353" s="208">
        <f>SUM(AS350,AS309,AS302,AS291,AS280,AS269,AS258,AS247,AS236)</f>
        <v>4951368.1557647232</v>
      </c>
      <c r="AT353" s="178"/>
      <c r="AU353" s="69"/>
      <c r="AV353" s="208">
        <v>112752931.6513653</v>
      </c>
      <c r="AW353" s="54"/>
      <c r="AX353" s="20"/>
      <c r="AY353" s="208">
        <v>114740337.69900763</v>
      </c>
      <c r="AZ353" s="178"/>
      <c r="BA353" s="69"/>
      <c r="BB353" s="208">
        <f>SUM(BB350,BB309,BB302,BB291,BB280,BB269,BB258,BB247,BB236)</f>
        <v>123227968.33617105</v>
      </c>
      <c r="BC353" s="54"/>
      <c r="BD353" s="20"/>
      <c r="BE353" s="208">
        <f>SUM(BE350,BE309,BE302,BE291,BE280,BE269,BE258,BE247,BE236)</f>
        <v>124411633.85948095</v>
      </c>
      <c r="BF353" s="178"/>
      <c r="BG353" s="178"/>
      <c r="BH353" s="178"/>
      <c r="BI353" s="178"/>
      <c r="BJ353" s="178"/>
    </row>
    <row r="354" spans="3:62" ht="14.25" thickTop="1" x14ac:dyDescent="0.4">
      <c r="C354" s="39" t="s">
        <v>109</v>
      </c>
      <c r="D354" s="39"/>
      <c r="E354" s="52"/>
      <c r="F354" s="53"/>
      <c r="G354" s="54"/>
      <c r="H354" s="20"/>
      <c r="I354" s="53"/>
      <c r="J354" s="54"/>
      <c r="K354" s="20"/>
      <c r="L354" s="53"/>
      <c r="M354" s="54"/>
      <c r="N354" s="20"/>
      <c r="O354" s="53"/>
      <c r="P354" s="54"/>
      <c r="Q354" s="20"/>
      <c r="R354" s="53"/>
      <c r="S354" s="54"/>
      <c r="T354" s="20"/>
      <c r="U354" s="53"/>
      <c r="V354" s="54"/>
      <c r="W354" s="20"/>
      <c r="X354" s="53"/>
      <c r="Y354" s="54"/>
      <c r="Z354" s="20"/>
      <c r="AA354" s="70">
        <f>AA353-AA209</f>
        <v>0</v>
      </c>
      <c r="AB354" s="54"/>
      <c r="AC354" s="20"/>
      <c r="AD354" s="70">
        <f>AD353-AD209</f>
        <v>0</v>
      </c>
      <c r="AE354" s="54"/>
      <c r="AF354" s="20"/>
      <c r="AG354" s="70">
        <f>AG353-AG209</f>
        <v>0</v>
      </c>
      <c r="AH354" s="178"/>
      <c r="AI354" s="69"/>
      <c r="AJ354" s="70">
        <f>AJ353-AJ209</f>
        <v>0</v>
      </c>
      <c r="AK354" s="54"/>
      <c r="AL354" s="20"/>
      <c r="AM354" s="70">
        <f>AM353-AM209</f>
        <v>1.4901161193847656E-8</v>
      </c>
      <c r="AN354" s="54"/>
      <c r="AO354" s="69"/>
      <c r="AP354" s="70">
        <f>AP353-AP209</f>
        <v>-479821.00000000373</v>
      </c>
      <c r="AQ354" s="54"/>
      <c r="AR354" s="20"/>
      <c r="AS354" s="70">
        <f>AS353-AS209</f>
        <v>3.9115548133850098E-8</v>
      </c>
      <c r="AT354" s="178"/>
      <c r="AU354" s="69"/>
      <c r="AV354" s="70">
        <v>0</v>
      </c>
      <c r="AW354" s="54"/>
      <c r="AX354" s="20"/>
      <c r="AY354" s="70">
        <v>0</v>
      </c>
      <c r="AZ354" s="178"/>
      <c r="BA354" s="69"/>
      <c r="BB354" s="70">
        <f>BB353-BB209</f>
        <v>479821</v>
      </c>
      <c r="BC354" s="54"/>
      <c r="BD354" s="20"/>
      <c r="BE354" s="70">
        <f>BE353-BE209</f>
        <v>0</v>
      </c>
      <c r="BF354" s="178"/>
      <c r="BG354" s="178"/>
      <c r="BH354" s="178"/>
      <c r="BI354" s="178"/>
      <c r="BJ354" s="178"/>
    </row>
    <row r="355" spans="3:62" x14ac:dyDescent="0.4">
      <c r="C355" s="39"/>
      <c r="D355" s="39"/>
      <c r="E355" s="52"/>
      <c r="F355" s="53"/>
      <c r="G355" s="54"/>
      <c r="H355" s="20"/>
      <c r="I355" s="53"/>
      <c r="J355" s="54"/>
      <c r="K355" s="20"/>
      <c r="L355" s="53"/>
      <c r="M355" s="54"/>
      <c r="N355" s="20"/>
      <c r="O355" s="53"/>
      <c r="P355" s="54"/>
      <c r="Q355" s="20"/>
      <c r="R355" s="53"/>
      <c r="S355" s="54"/>
      <c r="T355" s="20"/>
      <c r="U355" s="53"/>
      <c r="V355" s="54"/>
      <c r="W355" s="20"/>
      <c r="X355" s="53"/>
      <c r="Y355" s="54"/>
      <c r="Z355" s="20"/>
      <c r="AA355" s="53"/>
      <c r="AB355" s="54"/>
      <c r="AC355" s="20"/>
      <c r="AD355" s="53"/>
      <c r="AE355" s="54"/>
      <c r="AF355" s="20"/>
      <c r="AG355" s="53"/>
      <c r="AH355" s="178"/>
      <c r="AI355" s="69"/>
      <c r="AJ355" s="53"/>
      <c r="AK355" s="54"/>
      <c r="AL355" s="20"/>
      <c r="AM355" s="53"/>
      <c r="AN355" s="54"/>
      <c r="AO355" s="69"/>
      <c r="AP355" s="53"/>
      <c r="AQ355" s="54"/>
      <c r="AR355" s="20"/>
      <c r="AS355" s="53"/>
      <c r="AT355" s="178"/>
      <c r="AU355" s="69"/>
      <c r="AV355" s="53"/>
      <c r="AW355" s="54"/>
      <c r="AX355" s="20"/>
      <c r="AY355" s="53"/>
      <c r="AZ355" s="178"/>
      <c r="BA355" s="69"/>
      <c r="BB355" s="53"/>
      <c r="BC355" s="54"/>
      <c r="BD355" s="20"/>
      <c r="BE355" s="53"/>
      <c r="BF355" s="178"/>
      <c r="BG355" s="178"/>
      <c r="BH355" s="178"/>
      <c r="BI355" s="178"/>
      <c r="BJ355" s="178"/>
    </row>
    <row r="356" spans="3:62" x14ac:dyDescent="0.4">
      <c r="C356" s="39"/>
      <c r="D356" s="39"/>
      <c r="E356" s="52"/>
      <c r="F356" s="53"/>
      <c r="G356" s="54"/>
      <c r="H356" s="20"/>
      <c r="I356" s="53"/>
      <c r="J356" s="54"/>
      <c r="K356" s="20"/>
      <c r="L356" s="53"/>
      <c r="M356" s="54"/>
      <c r="N356" s="20"/>
      <c r="O356" s="53"/>
      <c r="P356" s="54"/>
      <c r="Q356" s="20"/>
      <c r="R356" s="53"/>
      <c r="S356" s="54"/>
      <c r="T356" s="20"/>
      <c r="U356" s="53"/>
      <c r="V356" s="54"/>
      <c r="W356" s="20"/>
      <c r="X356" s="53"/>
      <c r="Y356" s="54"/>
      <c r="Z356" s="20"/>
      <c r="AA356" s="53"/>
      <c r="AB356" s="54"/>
      <c r="AC356" s="20"/>
      <c r="AD356" s="53"/>
      <c r="AE356" s="54"/>
      <c r="AF356" s="20"/>
      <c r="AG356" s="53"/>
      <c r="AH356" s="178"/>
      <c r="AI356" s="69"/>
      <c r="AJ356" s="53"/>
      <c r="AK356" s="54"/>
      <c r="AL356" s="20"/>
      <c r="AM356" s="53"/>
      <c r="AN356" s="54"/>
      <c r="AO356" s="69"/>
      <c r="AP356" s="53"/>
      <c r="AQ356" s="54"/>
      <c r="AR356" s="20"/>
      <c r="AS356" s="53"/>
      <c r="AT356" s="178"/>
      <c r="AU356" s="69"/>
      <c r="AV356" s="53"/>
      <c r="AW356" s="54"/>
      <c r="AX356" s="20"/>
      <c r="AY356" s="53"/>
      <c r="AZ356" s="178"/>
      <c r="BA356" s="69"/>
      <c r="BB356" s="53"/>
      <c r="BC356" s="54"/>
      <c r="BD356" s="20"/>
      <c r="BE356" s="53"/>
      <c r="BF356" s="178"/>
      <c r="BG356" s="178"/>
      <c r="BH356" s="178"/>
      <c r="BI356" s="178"/>
      <c r="BJ356" s="178"/>
    </row>
    <row r="357" spans="3:62" ht="14.25" thickBot="1" x14ac:dyDescent="0.45">
      <c r="C357" s="39" t="s">
        <v>110</v>
      </c>
      <c r="D357" s="39"/>
      <c r="E357" s="52"/>
      <c r="F357" s="53"/>
      <c r="G357" s="54"/>
      <c r="H357" s="20"/>
      <c r="I357" s="53"/>
      <c r="J357" s="54"/>
      <c r="K357" s="20"/>
      <c r="L357" s="53"/>
      <c r="M357" s="54"/>
      <c r="N357" s="20"/>
      <c r="O357" s="53"/>
      <c r="P357" s="54"/>
      <c r="Q357" s="20"/>
      <c r="R357" s="53"/>
      <c r="S357" s="54"/>
      <c r="T357" s="20"/>
      <c r="U357" s="53"/>
      <c r="V357" s="54"/>
      <c r="W357" s="20"/>
      <c r="X357" s="53"/>
      <c r="Y357" s="54"/>
      <c r="Z357" s="20"/>
      <c r="AA357" s="53"/>
      <c r="AB357" s="54"/>
      <c r="AC357" s="20"/>
      <c r="AD357" s="274">
        <v>128885747.37944461</v>
      </c>
      <c r="AE357" s="54"/>
      <c r="AF357" s="20"/>
      <c r="AG357" s="274">
        <v>129363002.01524566</v>
      </c>
      <c r="AH357" s="178"/>
      <c r="AI357" s="69"/>
      <c r="AJ357" s="53"/>
      <c r="AK357" s="54"/>
      <c r="AL357" s="20"/>
      <c r="AM357" s="53"/>
      <c r="AN357" s="54"/>
      <c r="AO357" s="69"/>
      <c r="AP357" s="53"/>
      <c r="AQ357" s="54"/>
      <c r="AR357" s="20"/>
      <c r="AS357" s="53"/>
      <c r="AT357" s="178"/>
      <c r="AU357" s="69"/>
      <c r="AV357" s="274">
        <v>112752931.65136531</v>
      </c>
      <c r="AW357" s="54"/>
      <c r="AX357" s="20"/>
      <c r="AY357" s="274">
        <v>114740337.69900763</v>
      </c>
      <c r="AZ357" s="178"/>
      <c r="BA357" s="69"/>
      <c r="BB357" s="53"/>
      <c r="BC357" s="54"/>
      <c r="BD357" s="20"/>
      <c r="BE357" s="53"/>
      <c r="BF357" s="178"/>
      <c r="BG357" s="178"/>
      <c r="BH357" s="178"/>
      <c r="BI357" s="178"/>
      <c r="BJ357" s="178"/>
    </row>
    <row r="358" spans="3:62" x14ac:dyDescent="0.4">
      <c r="C358" s="39" t="s">
        <v>111</v>
      </c>
      <c r="D358" s="39"/>
      <c r="E358" s="52"/>
      <c r="F358" s="53"/>
      <c r="G358" s="54"/>
      <c r="H358" s="20"/>
      <c r="I358" s="53"/>
      <c r="J358" s="54"/>
      <c r="K358" s="20"/>
      <c r="L358" s="53"/>
      <c r="M358" s="54"/>
      <c r="N358" s="20"/>
      <c r="O358" s="53"/>
      <c r="P358" s="54"/>
      <c r="Q358" s="20"/>
      <c r="R358" s="53"/>
      <c r="S358" s="54"/>
      <c r="T358" s="20"/>
      <c r="U358" s="53"/>
      <c r="V358" s="54"/>
      <c r="W358" s="20"/>
      <c r="X358" s="53"/>
      <c r="Y358" s="54"/>
      <c r="Z358" s="20"/>
      <c r="AA358" s="53"/>
      <c r="AB358" s="54"/>
      <c r="AC358" s="20"/>
      <c r="AD358" s="70">
        <f>AD357-AD209</f>
        <v>0</v>
      </c>
      <c r="AE358" s="54"/>
      <c r="AF358" s="20"/>
      <c r="AG358" s="70">
        <f>AG357-AG209</f>
        <v>0</v>
      </c>
      <c r="AH358" s="178"/>
      <c r="AI358" s="69"/>
      <c r="AJ358" s="53"/>
      <c r="AK358" s="54"/>
      <c r="AL358" s="20"/>
      <c r="AM358" s="53"/>
      <c r="AN358" s="54"/>
      <c r="AO358" s="69"/>
      <c r="AP358" s="53"/>
      <c r="AQ358" s="54"/>
      <c r="AR358" s="20"/>
      <c r="AS358" s="53"/>
      <c r="AT358" s="178"/>
      <c r="AU358" s="69"/>
      <c r="AV358" s="70">
        <v>0</v>
      </c>
      <c r="AW358" s="54"/>
      <c r="AX358" s="20"/>
      <c r="AY358" s="70">
        <v>0</v>
      </c>
      <c r="AZ358" s="178"/>
      <c r="BA358" s="69"/>
      <c r="BB358" s="53"/>
      <c r="BC358" s="54"/>
      <c r="BD358" s="20"/>
      <c r="BE358" s="53"/>
      <c r="BF358" s="178"/>
      <c r="BG358" s="178"/>
      <c r="BH358" s="178"/>
      <c r="BI358" s="178"/>
      <c r="BJ358" s="178"/>
    </row>
    <row r="359" spans="3:62" x14ac:dyDescent="0.4">
      <c r="C359" s="39"/>
      <c r="D359" s="39"/>
      <c r="E359" s="52"/>
      <c r="F359" s="53"/>
      <c r="G359" s="54"/>
      <c r="H359" s="20"/>
      <c r="I359" s="53"/>
      <c r="J359" s="54"/>
      <c r="K359" s="20"/>
      <c r="L359" s="53"/>
      <c r="M359" s="54"/>
      <c r="N359" s="20"/>
      <c r="O359" s="53"/>
      <c r="P359" s="54"/>
      <c r="Q359" s="20"/>
      <c r="R359" s="53"/>
      <c r="S359" s="54"/>
      <c r="T359" s="20"/>
      <c r="U359" s="53"/>
      <c r="V359" s="54"/>
      <c r="W359" s="20"/>
      <c r="X359" s="53"/>
      <c r="Y359" s="54"/>
      <c r="Z359" s="20"/>
      <c r="AA359" s="53"/>
      <c r="AB359" s="54"/>
      <c r="AC359" s="20"/>
      <c r="AD359" s="53"/>
      <c r="AE359" s="54"/>
      <c r="AF359" s="20"/>
      <c r="AG359" s="53"/>
      <c r="AH359" s="178"/>
      <c r="AI359" s="69"/>
      <c r="AJ359" s="53"/>
      <c r="AK359" s="54"/>
      <c r="AL359" s="20"/>
      <c r="AM359" s="53"/>
      <c r="AN359" s="54"/>
      <c r="AO359" s="69"/>
      <c r="AP359" s="53"/>
      <c r="AQ359" s="54"/>
      <c r="AR359" s="20"/>
      <c r="AS359" s="53"/>
      <c r="AT359" s="178"/>
      <c r="AU359" s="69"/>
      <c r="AV359" s="53"/>
      <c r="AW359" s="54"/>
      <c r="AX359" s="20"/>
      <c r="AY359" s="53"/>
      <c r="AZ359" s="178"/>
      <c r="BA359" s="69"/>
      <c r="BB359" s="53"/>
      <c r="BC359" s="54"/>
      <c r="BD359" s="20"/>
      <c r="BE359" s="53"/>
      <c r="BF359" s="178"/>
      <c r="BG359" s="178"/>
      <c r="BH359" s="178"/>
      <c r="BI359" s="178"/>
      <c r="BJ359" s="178"/>
    </row>
    <row r="360" spans="3:62" x14ac:dyDescent="0.4">
      <c r="C360" s="39"/>
      <c r="D360" s="39"/>
      <c r="E360" s="52"/>
      <c r="F360" s="53"/>
      <c r="G360" s="54"/>
      <c r="H360" s="20"/>
      <c r="I360" s="53"/>
      <c r="J360" s="54"/>
      <c r="K360" s="20"/>
      <c r="L360" s="53"/>
      <c r="M360" s="54"/>
      <c r="N360" s="20"/>
      <c r="O360" s="53"/>
      <c r="P360" s="54"/>
      <c r="Q360" s="20"/>
      <c r="R360" s="53"/>
      <c r="S360" s="54"/>
      <c r="T360" s="20"/>
      <c r="U360" s="53"/>
      <c r="V360" s="54"/>
      <c r="W360" s="20"/>
      <c r="X360" s="53"/>
      <c r="Y360" s="54"/>
      <c r="Z360" s="20"/>
      <c r="AA360" s="53"/>
      <c r="AB360" s="54"/>
      <c r="AC360" s="20"/>
      <c r="AD360" s="53"/>
      <c r="AE360" s="54"/>
      <c r="AF360" s="20"/>
      <c r="AG360" s="53"/>
      <c r="AH360" s="178"/>
      <c r="AI360" s="69"/>
      <c r="AJ360" s="53"/>
      <c r="AK360" s="54"/>
      <c r="AL360" s="20"/>
      <c r="AM360" s="53"/>
      <c r="AN360" s="54"/>
      <c r="AO360" s="69"/>
      <c r="AP360" s="53"/>
      <c r="AQ360" s="54"/>
      <c r="AR360" s="20"/>
      <c r="AS360" s="53"/>
      <c r="AT360" s="178"/>
      <c r="AU360" s="69"/>
      <c r="AV360" s="53"/>
      <c r="AW360" s="54"/>
      <c r="AX360" s="20"/>
      <c r="AY360" s="53"/>
      <c r="AZ360" s="178"/>
      <c r="BA360" s="69"/>
      <c r="BB360" s="53"/>
      <c r="BC360" s="54"/>
      <c r="BD360" s="20"/>
      <c r="BE360" s="53"/>
      <c r="BF360" s="178"/>
      <c r="BG360" s="178"/>
      <c r="BH360" s="178"/>
      <c r="BI360" s="178"/>
      <c r="BJ360" s="178"/>
    </row>
    <row r="361" spans="3:62" x14ac:dyDescent="0.4">
      <c r="C361" s="39"/>
      <c r="D361" s="39"/>
      <c r="E361" s="52"/>
      <c r="F361" s="53"/>
      <c r="G361" s="54"/>
      <c r="H361" s="20"/>
      <c r="I361" s="53"/>
      <c r="J361" s="54"/>
      <c r="K361" s="20"/>
      <c r="L361" s="53"/>
      <c r="M361" s="54"/>
      <c r="N361" s="20"/>
      <c r="O361" s="53"/>
      <c r="P361" s="54"/>
      <c r="Q361" s="20"/>
      <c r="R361" s="53"/>
      <c r="S361" s="54"/>
      <c r="T361" s="20"/>
      <c r="U361" s="53"/>
      <c r="V361" s="54"/>
      <c r="W361" s="20"/>
      <c r="X361" s="53"/>
      <c r="Y361" s="54"/>
      <c r="Z361" s="20"/>
      <c r="AA361" s="53"/>
      <c r="AB361" s="54"/>
      <c r="AC361" s="20"/>
      <c r="AD361" s="53"/>
      <c r="AE361" s="54"/>
      <c r="AF361" s="20"/>
      <c r="AG361" s="53"/>
      <c r="AH361" s="178"/>
      <c r="AI361" s="69"/>
      <c r="AJ361" s="53"/>
      <c r="AK361" s="54"/>
      <c r="AL361" s="20"/>
      <c r="AM361" s="53"/>
      <c r="AN361" s="54"/>
      <c r="AO361" s="69"/>
      <c r="AP361" s="53"/>
      <c r="AQ361" s="54"/>
      <c r="AR361" s="20"/>
      <c r="AS361" s="53"/>
      <c r="AT361" s="178"/>
      <c r="AU361" s="69"/>
      <c r="AV361" s="53"/>
      <c r="AW361" s="54"/>
      <c r="AX361" s="20"/>
      <c r="AY361" s="53"/>
      <c r="AZ361" s="178"/>
      <c r="BA361" s="69"/>
      <c r="BB361" s="53"/>
      <c r="BC361" s="54"/>
      <c r="BD361" s="20"/>
      <c r="BE361" s="53"/>
      <c r="BF361" s="178"/>
      <c r="BG361" s="178"/>
      <c r="BH361" s="178"/>
      <c r="BI361" s="178"/>
      <c r="BJ361" s="178"/>
    </row>
    <row r="362" spans="3:62" x14ac:dyDescent="0.4">
      <c r="C362" s="39"/>
      <c r="D362" s="39"/>
      <c r="E362" s="52"/>
      <c r="F362" s="53"/>
      <c r="G362" s="54"/>
      <c r="H362" s="20"/>
      <c r="I362" s="53"/>
      <c r="J362" s="54"/>
      <c r="K362" s="20"/>
      <c r="L362" s="53"/>
      <c r="M362" s="54"/>
      <c r="N362" s="20"/>
      <c r="O362" s="53"/>
      <c r="P362" s="54"/>
      <c r="Q362" s="20"/>
      <c r="R362" s="53"/>
      <c r="S362" s="54"/>
      <c r="T362" s="20"/>
      <c r="U362" s="53"/>
      <c r="V362" s="54"/>
      <c r="W362" s="20"/>
      <c r="X362" s="53"/>
      <c r="Y362" s="54"/>
      <c r="Z362" s="20"/>
      <c r="AA362" s="53"/>
      <c r="AB362" s="54"/>
      <c r="AC362" s="20"/>
      <c r="AD362" s="53"/>
      <c r="AE362" s="54"/>
      <c r="AF362" s="20"/>
      <c r="AG362" s="53"/>
      <c r="AH362" s="178"/>
      <c r="AI362" s="69"/>
      <c r="AJ362" s="53"/>
      <c r="AK362" s="54"/>
      <c r="AL362" s="20"/>
      <c r="AM362" s="53"/>
      <c r="AN362" s="54"/>
      <c r="AO362" s="69"/>
      <c r="AP362" s="53"/>
      <c r="AQ362" s="54"/>
      <c r="AR362" s="20"/>
      <c r="AS362" s="53"/>
      <c r="AT362" s="178"/>
      <c r="AU362" s="69"/>
      <c r="AV362" s="53"/>
      <c r="AW362" s="54"/>
      <c r="AX362" s="20"/>
      <c r="AY362" s="53"/>
      <c r="AZ362" s="178"/>
      <c r="BA362" s="69"/>
      <c r="BB362" s="53"/>
      <c r="BC362" s="54"/>
      <c r="BD362" s="20"/>
      <c r="BE362" s="53"/>
      <c r="BF362" s="178"/>
      <c r="BG362" s="178"/>
      <c r="BH362" s="178"/>
      <c r="BI362" s="178"/>
      <c r="BJ362" s="178"/>
    </row>
    <row r="363" spans="3:62" x14ac:dyDescent="0.4">
      <c r="C363" s="39"/>
      <c r="D363" s="39"/>
      <c r="E363" s="52"/>
      <c r="F363" s="53"/>
      <c r="G363" s="54"/>
      <c r="H363" s="20"/>
      <c r="I363" s="53"/>
      <c r="J363" s="54"/>
      <c r="K363" s="20"/>
      <c r="L363" s="53"/>
      <c r="M363" s="54"/>
      <c r="N363" s="20"/>
      <c r="O363" s="53"/>
      <c r="P363" s="54"/>
      <c r="Q363" s="20"/>
      <c r="R363" s="53"/>
      <c r="S363" s="54"/>
      <c r="T363" s="20"/>
      <c r="U363" s="53"/>
      <c r="V363" s="54"/>
      <c r="W363" s="20"/>
      <c r="X363" s="53"/>
      <c r="Y363" s="54"/>
      <c r="Z363" s="20"/>
      <c r="AA363" s="53"/>
      <c r="AB363" s="54"/>
      <c r="AC363" s="20"/>
      <c r="AD363" s="53"/>
      <c r="AE363" s="54"/>
      <c r="AF363" s="20"/>
      <c r="AG363" s="53"/>
      <c r="AH363" s="178"/>
      <c r="AI363" s="69"/>
      <c r="AJ363" s="53"/>
      <c r="AK363" s="54"/>
      <c r="AL363" s="20"/>
      <c r="AM363" s="53"/>
      <c r="AN363" s="54"/>
      <c r="AO363" s="69"/>
      <c r="AP363" s="53"/>
      <c r="AQ363" s="54"/>
      <c r="AR363" s="20"/>
      <c r="AS363" s="53"/>
      <c r="AT363" s="178"/>
      <c r="AU363" s="69"/>
      <c r="AV363" s="53"/>
      <c r="AW363" s="54"/>
      <c r="AX363" s="20"/>
      <c r="AY363" s="53"/>
      <c r="AZ363" s="178"/>
      <c r="BA363" s="69"/>
      <c r="BB363" s="53"/>
      <c r="BC363" s="54"/>
      <c r="BD363" s="20"/>
      <c r="BE363" s="53"/>
      <c r="BF363" s="178"/>
      <c r="BG363" s="178"/>
      <c r="BH363" s="178"/>
      <c r="BI363" s="178"/>
      <c r="BJ363" s="178"/>
    </row>
    <row r="364" spans="3:62" x14ac:dyDescent="0.4">
      <c r="C364" s="39"/>
      <c r="D364" s="39"/>
      <c r="E364" s="52"/>
      <c r="F364" s="53"/>
      <c r="G364" s="54"/>
      <c r="H364" s="20"/>
      <c r="I364" s="53"/>
      <c r="J364" s="54"/>
      <c r="K364" s="20"/>
      <c r="L364" s="53"/>
      <c r="M364" s="54"/>
      <c r="N364" s="20"/>
      <c r="O364" s="53"/>
      <c r="P364" s="54"/>
      <c r="Q364" s="20"/>
      <c r="R364" s="53"/>
      <c r="S364" s="54"/>
      <c r="T364" s="20"/>
      <c r="U364" s="53"/>
      <c r="V364" s="54"/>
      <c r="W364" s="20"/>
      <c r="X364" s="53"/>
      <c r="Y364" s="54"/>
      <c r="Z364" s="20"/>
      <c r="AA364" s="53"/>
      <c r="AB364" s="54"/>
      <c r="AC364" s="20"/>
      <c r="AD364" s="53"/>
      <c r="AE364" s="54"/>
      <c r="AF364" s="20"/>
      <c r="AG364" s="53"/>
      <c r="AH364" s="178"/>
      <c r="AI364" s="69"/>
      <c r="AJ364" s="53"/>
      <c r="AK364" s="54"/>
      <c r="AL364" s="20"/>
      <c r="AM364" s="53"/>
      <c r="AN364" s="54"/>
      <c r="AO364" s="69"/>
      <c r="AP364" s="53"/>
      <c r="AQ364" s="54"/>
      <c r="AR364" s="20"/>
      <c r="AS364" s="53"/>
      <c r="AT364" s="178"/>
      <c r="AU364" s="69"/>
      <c r="AV364" s="53"/>
      <c r="AW364" s="54"/>
      <c r="AX364" s="20"/>
      <c r="AY364" s="53"/>
      <c r="AZ364" s="178"/>
      <c r="BA364" s="69"/>
      <c r="BB364" s="53"/>
      <c r="BC364" s="54"/>
      <c r="BD364" s="20"/>
      <c r="BE364" s="53"/>
      <c r="BF364" s="178"/>
      <c r="BG364" s="178"/>
      <c r="BH364" s="178"/>
      <c r="BI364" s="178"/>
      <c r="BJ364" s="178"/>
    </row>
    <row r="365" spans="3:62" x14ac:dyDescent="0.4">
      <c r="C365" s="39"/>
      <c r="D365" s="39"/>
      <c r="E365" s="52"/>
      <c r="F365" s="53"/>
      <c r="G365" s="54"/>
      <c r="H365" s="20"/>
      <c r="I365" s="53"/>
      <c r="J365" s="54"/>
      <c r="K365" s="20"/>
      <c r="L365" s="53"/>
      <c r="M365" s="54"/>
      <c r="N365" s="20"/>
      <c r="O365" s="53"/>
      <c r="P365" s="54"/>
      <c r="Q365" s="20"/>
      <c r="R365" s="53"/>
      <c r="S365" s="54"/>
      <c r="T365" s="20"/>
      <c r="U365" s="53"/>
      <c r="V365" s="54"/>
      <c r="W365" s="20"/>
      <c r="X365" s="53"/>
      <c r="Y365" s="54"/>
      <c r="Z365" s="20"/>
      <c r="AA365" s="53"/>
      <c r="AB365" s="54"/>
      <c r="AC365" s="20"/>
      <c r="AD365" s="53"/>
      <c r="AE365" s="54"/>
      <c r="AF365" s="20"/>
      <c r="AG365" s="53"/>
      <c r="AH365" s="178"/>
      <c r="AI365" s="69"/>
      <c r="AJ365" s="53"/>
      <c r="AK365" s="54"/>
      <c r="AL365" s="20"/>
      <c r="AM365" s="53"/>
      <c r="AN365" s="54"/>
      <c r="AO365" s="69"/>
      <c r="AP365" s="53"/>
      <c r="AQ365" s="54"/>
      <c r="AR365" s="20"/>
      <c r="AS365" s="53"/>
      <c r="AT365" s="178"/>
      <c r="AU365" s="69"/>
      <c r="AV365" s="53"/>
      <c r="AW365" s="54"/>
      <c r="AX365" s="20"/>
      <c r="AY365" s="53"/>
      <c r="AZ365" s="178"/>
      <c r="BA365" s="69"/>
      <c r="BB365" s="53"/>
      <c r="BC365" s="54"/>
      <c r="BD365" s="20"/>
      <c r="BE365" s="53"/>
      <c r="BF365" s="178"/>
      <c r="BG365" s="178"/>
      <c r="BH365" s="178"/>
      <c r="BI365" s="178"/>
      <c r="BJ365" s="178"/>
    </row>
    <row r="366" spans="3:62" x14ac:dyDescent="0.4">
      <c r="C366" s="39"/>
      <c r="D366" s="39"/>
      <c r="E366" s="52"/>
      <c r="F366" s="53"/>
      <c r="G366" s="54"/>
      <c r="H366" s="20"/>
      <c r="I366" s="53"/>
      <c r="J366" s="54"/>
      <c r="K366" s="20"/>
      <c r="L366" s="53"/>
      <c r="M366" s="54"/>
      <c r="N366" s="20"/>
      <c r="O366" s="53"/>
      <c r="P366" s="54"/>
      <c r="Q366" s="20"/>
      <c r="R366" s="53"/>
      <c r="S366" s="54"/>
      <c r="T366" s="20"/>
      <c r="U366" s="53"/>
      <c r="V366" s="54"/>
      <c r="W366" s="20"/>
      <c r="X366" s="53"/>
      <c r="Y366" s="54"/>
      <c r="Z366" s="20"/>
      <c r="AA366" s="53"/>
      <c r="AB366" s="54"/>
      <c r="AC366" s="20"/>
      <c r="AD366" s="53"/>
      <c r="AE366" s="54"/>
      <c r="AF366" s="20"/>
      <c r="AG366" s="53"/>
      <c r="AH366" s="178"/>
      <c r="AI366" s="69"/>
      <c r="AJ366" s="53"/>
      <c r="AK366" s="54"/>
      <c r="AL366" s="20"/>
      <c r="AM366" s="53"/>
      <c r="AN366" s="54"/>
      <c r="AO366" s="69"/>
      <c r="AP366" s="53"/>
      <c r="AQ366" s="54"/>
      <c r="AR366" s="20"/>
      <c r="AS366" s="53"/>
      <c r="AT366" s="178"/>
      <c r="AU366" s="69"/>
      <c r="AV366" s="53"/>
      <c r="AW366" s="54"/>
      <c r="AX366" s="20"/>
      <c r="AY366" s="53"/>
      <c r="AZ366" s="178"/>
      <c r="BA366" s="69"/>
      <c r="BB366" s="53"/>
      <c r="BC366" s="54"/>
      <c r="BD366" s="20"/>
      <c r="BE366" s="53"/>
      <c r="BF366" s="178"/>
      <c r="BG366" s="178"/>
      <c r="BH366" s="178"/>
      <c r="BI366" s="178"/>
      <c r="BJ366" s="178"/>
    </row>
    <row r="367" spans="3:62" x14ac:dyDescent="0.4">
      <c r="C367" s="39"/>
      <c r="D367" s="39"/>
      <c r="E367" s="52"/>
      <c r="F367" s="53"/>
      <c r="G367" s="54"/>
      <c r="H367" s="20"/>
      <c r="I367" s="53"/>
      <c r="J367" s="54"/>
      <c r="K367" s="20"/>
      <c r="L367" s="53"/>
      <c r="M367" s="54"/>
      <c r="N367" s="20"/>
      <c r="O367" s="53"/>
      <c r="P367" s="54"/>
      <c r="Q367" s="20"/>
      <c r="R367" s="53"/>
      <c r="S367" s="54"/>
      <c r="T367" s="20"/>
      <c r="U367" s="53"/>
      <c r="V367" s="54"/>
      <c r="W367" s="20"/>
      <c r="X367" s="53"/>
      <c r="Y367" s="54"/>
      <c r="Z367" s="20"/>
      <c r="AA367" s="53"/>
      <c r="AB367" s="54"/>
      <c r="AC367" s="20"/>
      <c r="AD367" s="53"/>
      <c r="AE367" s="54"/>
      <c r="AF367" s="20"/>
      <c r="AG367" s="53"/>
      <c r="AH367" s="178"/>
      <c r="AI367" s="69"/>
      <c r="AJ367" s="53"/>
      <c r="AK367" s="54"/>
      <c r="AL367" s="20"/>
      <c r="AM367" s="53"/>
      <c r="AN367" s="54"/>
      <c r="AO367" s="69"/>
      <c r="AP367" s="53"/>
      <c r="AQ367" s="54"/>
      <c r="AR367" s="20"/>
      <c r="AS367" s="53"/>
      <c r="AT367" s="178"/>
      <c r="AU367" s="69"/>
      <c r="AV367" s="53"/>
      <c r="AW367" s="54"/>
      <c r="AX367" s="20"/>
      <c r="AY367" s="53"/>
      <c r="AZ367" s="178"/>
      <c r="BA367" s="69"/>
      <c r="BB367" s="53"/>
      <c r="BC367" s="54"/>
      <c r="BD367" s="20"/>
      <c r="BE367" s="53"/>
      <c r="BF367" s="178"/>
      <c r="BG367" s="178"/>
      <c r="BH367" s="178"/>
      <c r="BI367" s="178"/>
      <c r="BJ367" s="178"/>
    </row>
    <row r="368" spans="3:62" x14ac:dyDescent="0.4">
      <c r="C368" s="39"/>
      <c r="D368" s="39"/>
      <c r="E368" s="52"/>
      <c r="F368" s="53"/>
      <c r="G368" s="54"/>
      <c r="H368" s="20"/>
      <c r="I368" s="53"/>
      <c r="J368" s="54"/>
      <c r="K368" s="20"/>
      <c r="L368" s="53"/>
      <c r="M368" s="54"/>
      <c r="N368" s="20"/>
      <c r="O368" s="53"/>
      <c r="P368" s="54"/>
      <c r="Q368" s="20"/>
      <c r="R368" s="53"/>
      <c r="S368" s="54"/>
      <c r="T368" s="20"/>
      <c r="U368" s="53"/>
      <c r="V368" s="54"/>
      <c r="W368" s="20"/>
      <c r="X368" s="53"/>
      <c r="Y368" s="54"/>
      <c r="Z368" s="20"/>
      <c r="AA368" s="53"/>
      <c r="AB368" s="54"/>
      <c r="AC368" s="20"/>
      <c r="AD368" s="53"/>
      <c r="AE368" s="54"/>
      <c r="AF368" s="20"/>
      <c r="AG368" s="53"/>
      <c r="AH368" s="178"/>
      <c r="AI368" s="69"/>
      <c r="AJ368" s="53"/>
      <c r="AK368" s="54"/>
      <c r="AL368" s="20"/>
      <c r="AM368" s="53"/>
      <c r="AN368" s="54"/>
      <c r="AO368" s="69"/>
      <c r="AP368" s="53"/>
      <c r="AQ368" s="54"/>
      <c r="AR368" s="20"/>
      <c r="AS368" s="53"/>
      <c r="AT368" s="178"/>
      <c r="AU368" s="69"/>
      <c r="AV368" s="53"/>
      <c r="AW368" s="54"/>
      <c r="AX368" s="20"/>
      <c r="AY368" s="53"/>
      <c r="AZ368" s="178"/>
      <c r="BA368" s="69"/>
      <c r="BB368" s="53"/>
      <c r="BC368" s="54"/>
      <c r="BD368" s="20"/>
      <c r="BE368" s="53"/>
      <c r="BF368" s="178"/>
      <c r="BG368" s="178"/>
      <c r="BH368" s="178"/>
      <c r="BI368" s="178"/>
      <c r="BJ368" s="178"/>
    </row>
    <row r="369" spans="3:62" x14ac:dyDescent="0.4">
      <c r="C369" s="39"/>
      <c r="D369" s="39"/>
      <c r="E369" s="52"/>
      <c r="F369" s="53"/>
      <c r="G369" s="54"/>
      <c r="H369" s="20"/>
      <c r="I369" s="53"/>
      <c r="J369" s="54"/>
      <c r="K369" s="20"/>
      <c r="L369" s="53"/>
      <c r="M369" s="54"/>
      <c r="N369" s="20"/>
      <c r="O369" s="53"/>
      <c r="P369" s="54"/>
      <c r="Q369" s="20"/>
      <c r="R369" s="53"/>
      <c r="S369" s="54"/>
      <c r="T369" s="20"/>
      <c r="U369" s="53"/>
      <c r="V369" s="54"/>
      <c r="W369" s="20"/>
      <c r="X369" s="53"/>
      <c r="Y369" s="54"/>
      <c r="Z369" s="20"/>
      <c r="AA369" s="53"/>
      <c r="AB369" s="54"/>
      <c r="AC369" s="20"/>
      <c r="AD369" s="53"/>
      <c r="AE369" s="54"/>
      <c r="AF369" s="20"/>
      <c r="AG369" s="53"/>
      <c r="AH369" s="178"/>
      <c r="AI369" s="69"/>
      <c r="AJ369" s="53"/>
      <c r="AK369" s="54"/>
      <c r="AL369" s="20"/>
      <c r="AM369" s="53"/>
      <c r="AN369" s="54"/>
      <c r="AO369" s="69"/>
      <c r="AP369" s="53"/>
      <c r="AQ369" s="54"/>
      <c r="AR369" s="20"/>
      <c r="AS369" s="53"/>
      <c r="AT369" s="178"/>
      <c r="AU369" s="69"/>
      <c r="AV369" s="53"/>
      <c r="AW369" s="54"/>
      <c r="AX369" s="20"/>
      <c r="AY369" s="53"/>
      <c r="AZ369" s="178"/>
      <c r="BA369" s="69"/>
      <c r="BB369" s="53"/>
      <c r="BC369" s="54"/>
      <c r="BD369" s="20"/>
      <c r="BE369" s="53"/>
      <c r="BF369" s="178"/>
      <c r="BG369" s="178"/>
      <c r="BH369" s="178"/>
      <c r="BI369" s="178"/>
      <c r="BJ369" s="178"/>
    </row>
    <row r="370" spans="3:62" x14ac:dyDescent="0.4">
      <c r="C370" s="39"/>
      <c r="D370" s="39"/>
      <c r="E370" s="52"/>
      <c r="F370" s="53"/>
      <c r="G370" s="54"/>
      <c r="H370" s="20"/>
      <c r="I370" s="53"/>
      <c r="J370" s="54"/>
      <c r="K370" s="20"/>
      <c r="L370" s="53"/>
      <c r="M370" s="54"/>
      <c r="N370" s="20"/>
      <c r="O370" s="53"/>
      <c r="P370" s="54"/>
      <c r="Q370" s="20"/>
      <c r="R370" s="53"/>
      <c r="S370" s="54"/>
      <c r="T370" s="20"/>
      <c r="U370" s="53"/>
      <c r="V370" s="54"/>
      <c r="W370" s="20"/>
      <c r="X370" s="53"/>
      <c r="Y370" s="54"/>
      <c r="Z370" s="20"/>
      <c r="AA370" s="53"/>
      <c r="AB370" s="54"/>
      <c r="AC370" s="20"/>
      <c r="AD370" s="53"/>
      <c r="AE370" s="54"/>
      <c r="AF370" s="20"/>
      <c r="AG370" s="53"/>
      <c r="AH370" s="178"/>
      <c r="AI370" s="69"/>
      <c r="AJ370" s="53"/>
      <c r="AK370" s="54"/>
      <c r="AL370" s="20"/>
      <c r="AM370" s="53"/>
      <c r="AN370" s="54"/>
      <c r="AO370" s="69"/>
      <c r="AP370" s="53"/>
      <c r="AQ370" s="54"/>
      <c r="AR370" s="20"/>
      <c r="AS370" s="53"/>
      <c r="AT370" s="178"/>
      <c r="AU370" s="69"/>
      <c r="AV370" s="53"/>
      <c r="AW370" s="54"/>
      <c r="AX370" s="20"/>
      <c r="AY370" s="53"/>
      <c r="AZ370" s="178"/>
      <c r="BA370" s="69"/>
      <c r="BB370" s="53"/>
      <c r="BC370" s="54"/>
      <c r="BD370" s="20"/>
      <c r="BE370" s="53"/>
      <c r="BF370" s="178"/>
      <c r="BG370" s="178"/>
      <c r="BH370" s="178"/>
      <c r="BI370" s="178"/>
      <c r="BJ370" s="178"/>
    </row>
    <row r="371" spans="3:62" x14ac:dyDescent="0.4">
      <c r="C371" s="39"/>
      <c r="D371" s="39"/>
      <c r="E371" s="52"/>
      <c r="F371" s="53"/>
      <c r="G371" s="54"/>
      <c r="H371" s="20"/>
      <c r="I371" s="53"/>
      <c r="J371" s="54"/>
      <c r="K371" s="20"/>
      <c r="L371" s="53"/>
      <c r="M371" s="54"/>
      <c r="N371" s="20"/>
      <c r="O371" s="53"/>
      <c r="P371" s="54"/>
      <c r="Q371" s="20"/>
      <c r="R371" s="53"/>
      <c r="S371" s="54"/>
      <c r="T371" s="20"/>
      <c r="U371" s="53"/>
      <c r="V371" s="54"/>
      <c r="W371" s="20"/>
      <c r="X371" s="53"/>
      <c r="Y371" s="54"/>
      <c r="Z371" s="20"/>
      <c r="AA371" s="53"/>
      <c r="AB371" s="54"/>
      <c r="AC371" s="20"/>
      <c r="AD371" s="53"/>
      <c r="AE371" s="54"/>
      <c r="AF371" s="20"/>
      <c r="AG371" s="53"/>
      <c r="AH371" s="178"/>
      <c r="AI371" s="69"/>
      <c r="AJ371" s="53"/>
      <c r="AK371" s="54"/>
      <c r="AL371" s="20"/>
      <c r="AM371" s="53"/>
      <c r="AN371" s="54"/>
      <c r="AO371" s="69"/>
      <c r="AP371" s="53"/>
      <c r="AQ371" s="54"/>
      <c r="AR371" s="20"/>
      <c r="AS371" s="53"/>
      <c r="AT371" s="178"/>
      <c r="AU371" s="69"/>
      <c r="AV371" s="53"/>
      <c r="AW371" s="54"/>
      <c r="AX371" s="20"/>
      <c r="AY371" s="53"/>
      <c r="AZ371" s="178"/>
      <c r="BA371" s="69"/>
      <c r="BB371" s="53"/>
      <c r="BC371" s="54"/>
      <c r="BD371" s="20"/>
      <c r="BE371" s="53"/>
      <c r="BF371" s="178"/>
      <c r="BG371" s="178"/>
      <c r="BH371" s="178"/>
      <c r="BI371" s="178"/>
      <c r="BJ371" s="178"/>
    </row>
    <row r="372" spans="3:62" x14ac:dyDescent="0.4">
      <c r="C372" s="39"/>
      <c r="D372" s="39"/>
      <c r="E372" s="52"/>
      <c r="F372" s="53"/>
      <c r="G372" s="54"/>
      <c r="H372" s="20"/>
      <c r="I372" s="53"/>
      <c r="J372" s="54"/>
      <c r="K372" s="20"/>
      <c r="L372" s="53"/>
      <c r="M372" s="54"/>
      <c r="N372" s="20"/>
      <c r="O372" s="53"/>
      <c r="P372" s="54"/>
      <c r="Q372" s="20"/>
      <c r="R372" s="53"/>
      <c r="S372" s="54"/>
      <c r="T372" s="20"/>
      <c r="U372" s="53"/>
      <c r="V372" s="54"/>
      <c r="W372" s="20"/>
      <c r="X372" s="53"/>
      <c r="Y372" s="54"/>
      <c r="Z372" s="20"/>
      <c r="AA372" s="53"/>
      <c r="AB372" s="54"/>
      <c r="AC372" s="20"/>
      <c r="AD372" s="53"/>
      <c r="AE372" s="54"/>
      <c r="AF372" s="20"/>
      <c r="AG372" s="53"/>
      <c r="AH372" s="178"/>
      <c r="AI372" s="69"/>
      <c r="AJ372" s="53"/>
      <c r="AK372" s="54"/>
      <c r="AL372" s="20"/>
      <c r="AM372" s="53"/>
      <c r="AN372" s="54"/>
      <c r="AO372" s="69"/>
      <c r="AP372" s="53"/>
      <c r="AQ372" s="54"/>
      <c r="AR372" s="20"/>
      <c r="AS372" s="53"/>
      <c r="AT372" s="178"/>
      <c r="AU372" s="69"/>
      <c r="AV372" s="53"/>
      <c r="AW372" s="54"/>
      <c r="AX372" s="20"/>
      <c r="AY372" s="53"/>
      <c r="AZ372" s="178"/>
      <c r="BA372" s="69"/>
      <c r="BB372" s="53"/>
      <c r="BC372" s="54"/>
      <c r="BD372" s="20"/>
      <c r="BE372" s="53"/>
      <c r="BF372" s="178"/>
      <c r="BG372" s="178"/>
      <c r="BH372" s="178"/>
      <c r="BI372" s="178"/>
      <c r="BJ372" s="178"/>
    </row>
    <row r="373" spans="3:62" x14ac:dyDescent="0.4">
      <c r="C373" s="39"/>
      <c r="D373" s="39"/>
      <c r="E373" s="52"/>
      <c r="F373" s="53"/>
      <c r="G373" s="54"/>
      <c r="H373" s="20"/>
      <c r="I373" s="53"/>
      <c r="J373" s="54"/>
      <c r="K373" s="20"/>
      <c r="L373" s="53"/>
      <c r="M373" s="54"/>
      <c r="N373" s="20"/>
      <c r="O373" s="53"/>
      <c r="P373" s="54"/>
      <c r="Q373" s="20"/>
      <c r="R373" s="53"/>
      <c r="S373" s="54"/>
      <c r="T373" s="20"/>
      <c r="U373" s="53"/>
      <c r="V373" s="54"/>
      <c r="W373" s="20"/>
      <c r="X373" s="53"/>
      <c r="Y373" s="54"/>
      <c r="Z373" s="20"/>
      <c r="AA373" s="53"/>
      <c r="AB373" s="54"/>
      <c r="AC373" s="20"/>
      <c r="AD373" s="53"/>
      <c r="AE373" s="54"/>
      <c r="AF373" s="20"/>
      <c r="AG373" s="53"/>
      <c r="AH373" s="178"/>
      <c r="AI373" s="69"/>
      <c r="AJ373" s="53"/>
      <c r="AK373" s="54"/>
      <c r="AL373" s="20"/>
      <c r="AM373" s="53"/>
      <c r="AN373" s="54"/>
      <c r="AO373" s="69"/>
      <c r="AP373" s="53"/>
      <c r="AQ373" s="54"/>
      <c r="AR373" s="20"/>
      <c r="AS373" s="53"/>
      <c r="AT373" s="178"/>
      <c r="AU373" s="69"/>
      <c r="AV373" s="53"/>
      <c r="AW373" s="54"/>
      <c r="AX373" s="20"/>
      <c r="AY373" s="53"/>
      <c r="AZ373" s="178"/>
      <c r="BA373" s="69"/>
      <c r="BB373" s="53"/>
      <c r="BC373" s="54"/>
      <c r="BD373" s="20"/>
      <c r="BE373" s="53"/>
      <c r="BF373" s="178"/>
      <c r="BG373" s="178"/>
      <c r="BH373" s="178"/>
      <c r="BI373" s="178"/>
      <c r="BJ373" s="178"/>
    </row>
    <row r="374" spans="3:62" x14ac:dyDescent="0.4">
      <c r="C374" s="39"/>
      <c r="D374" s="39"/>
      <c r="E374" s="52"/>
      <c r="F374" s="53"/>
      <c r="G374" s="54"/>
      <c r="H374" s="20"/>
      <c r="I374" s="53"/>
      <c r="J374" s="54"/>
      <c r="K374" s="20"/>
      <c r="L374" s="53"/>
      <c r="M374" s="54"/>
      <c r="N374" s="20"/>
      <c r="O374" s="53"/>
      <c r="P374" s="54"/>
      <c r="Q374" s="20"/>
      <c r="R374" s="53"/>
      <c r="S374" s="54"/>
      <c r="T374" s="20"/>
      <c r="U374" s="53"/>
      <c r="V374" s="54"/>
      <c r="W374" s="20"/>
      <c r="X374" s="53"/>
      <c r="Y374" s="54"/>
      <c r="Z374" s="20"/>
      <c r="AA374" s="53"/>
      <c r="AB374" s="54"/>
      <c r="AC374" s="20"/>
      <c r="AD374" s="53"/>
      <c r="AE374" s="54"/>
      <c r="AF374" s="20"/>
      <c r="AG374" s="53"/>
      <c r="AH374" s="178"/>
      <c r="AI374" s="69"/>
      <c r="AJ374" s="53"/>
      <c r="AK374" s="54"/>
      <c r="AL374" s="20"/>
      <c r="AM374" s="53"/>
      <c r="AN374" s="54"/>
      <c r="AO374" s="69"/>
      <c r="AP374" s="53"/>
      <c r="AQ374" s="54"/>
      <c r="AR374" s="20"/>
      <c r="AS374" s="53"/>
      <c r="AT374" s="178"/>
      <c r="AU374" s="69"/>
      <c r="AV374" s="53"/>
      <c r="AW374" s="54"/>
      <c r="AX374" s="20"/>
      <c r="AY374" s="53"/>
      <c r="AZ374" s="178"/>
      <c r="BA374" s="69"/>
      <c r="BB374" s="53"/>
      <c r="BC374" s="54"/>
      <c r="BD374" s="20"/>
      <c r="BE374" s="53"/>
      <c r="BF374" s="178"/>
      <c r="BG374" s="178"/>
      <c r="BH374" s="178"/>
      <c r="BI374" s="178"/>
      <c r="BJ374" s="178"/>
    </row>
    <row r="375" spans="3:62" x14ac:dyDescent="0.4">
      <c r="C375" s="39"/>
      <c r="D375" s="39"/>
      <c r="E375" s="52"/>
      <c r="F375" s="53"/>
      <c r="G375" s="54"/>
      <c r="H375" s="20"/>
      <c r="I375" s="53"/>
      <c r="J375" s="54"/>
      <c r="K375" s="20"/>
      <c r="L375" s="53"/>
      <c r="M375" s="54"/>
      <c r="N375" s="20"/>
      <c r="O375" s="53"/>
      <c r="P375" s="54"/>
      <c r="Q375" s="20"/>
      <c r="R375" s="53"/>
      <c r="S375" s="54"/>
      <c r="T375" s="20"/>
      <c r="U375" s="53"/>
      <c r="V375" s="54"/>
      <c r="W375" s="20"/>
      <c r="X375" s="53"/>
      <c r="Y375" s="54"/>
      <c r="Z375" s="20"/>
      <c r="AA375" s="53"/>
      <c r="AB375" s="54"/>
      <c r="AC375" s="20"/>
      <c r="AD375" s="53"/>
      <c r="AE375" s="54"/>
      <c r="AF375" s="20"/>
      <c r="AG375" s="53"/>
      <c r="AH375" s="178"/>
      <c r="AI375" s="69"/>
      <c r="AJ375" s="53"/>
      <c r="AK375" s="54"/>
      <c r="AL375" s="20"/>
      <c r="AM375" s="53"/>
      <c r="AN375" s="54"/>
      <c r="AO375" s="69"/>
      <c r="AP375" s="53"/>
      <c r="AQ375" s="54"/>
      <c r="AR375" s="20"/>
      <c r="AS375" s="53"/>
      <c r="AT375" s="178"/>
      <c r="AU375" s="69"/>
      <c r="AV375" s="53"/>
      <c r="AW375" s="54"/>
      <c r="AX375" s="20"/>
      <c r="AY375" s="53"/>
      <c r="AZ375" s="178"/>
      <c r="BA375" s="69"/>
      <c r="BB375" s="53"/>
      <c r="BC375" s="54"/>
      <c r="BD375" s="20"/>
      <c r="BE375" s="53"/>
      <c r="BF375" s="178"/>
      <c r="BG375" s="178"/>
      <c r="BH375" s="178"/>
      <c r="BI375" s="178"/>
      <c r="BJ375" s="178"/>
    </row>
    <row r="376" spans="3:62" x14ac:dyDescent="0.4">
      <c r="C376" s="39"/>
      <c r="D376" s="39"/>
      <c r="E376" s="52"/>
      <c r="F376" s="53"/>
      <c r="G376" s="54"/>
      <c r="H376" s="20"/>
      <c r="I376" s="53"/>
      <c r="J376" s="54"/>
      <c r="K376" s="20"/>
      <c r="L376" s="53"/>
      <c r="M376" s="54"/>
      <c r="N376" s="20"/>
      <c r="O376" s="53"/>
      <c r="P376" s="54"/>
      <c r="Q376" s="20"/>
      <c r="R376" s="53"/>
      <c r="S376" s="54"/>
      <c r="T376" s="20"/>
      <c r="U376" s="53"/>
      <c r="V376" s="54"/>
      <c r="W376" s="20"/>
      <c r="X376" s="53"/>
      <c r="Y376" s="54"/>
      <c r="Z376" s="20"/>
      <c r="AA376" s="53"/>
      <c r="AB376" s="54"/>
      <c r="AC376" s="20"/>
      <c r="AD376" s="53"/>
      <c r="AE376" s="54"/>
      <c r="AF376" s="20"/>
      <c r="AG376" s="53"/>
      <c r="AH376" s="178"/>
      <c r="AI376" s="69"/>
      <c r="AJ376" s="53"/>
      <c r="AK376" s="54"/>
      <c r="AL376" s="20"/>
      <c r="AM376" s="53"/>
      <c r="AN376" s="54"/>
      <c r="AO376" s="69"/>
      <c r="AP376" s="53"/>
      <c r="AQ376" s="54"/>
      <c r="AR376" s="20"/>
      <c r="AS376" s="53"/>
      <c r="AT376" s="178"/>
      <c r="AU376" s="69"/>
      <c r="AV376" s="53"/>
      <c r="AW376" s="54"/>
      <c r="AX376" s="20"/>
      <c r="AY376" s="53"/>
      <c r="AZ376" s="178"/>
      <c r="BA376" s="69"/>
      <c r="BB376" s="53"/>
      <c r="BC376" s="54"/>
      <c r="BD376" s="20"/>
      <c r="BE376" s="53"/>
      <c r="BF376" s="178"/>
      <c r="BG376" s="178"/>
      <c r="BH376" s="178"/>
      <c r="BI376" s="178"/>
      <c r="BJ376" s="178"/>
    </row>
    <row r="377" spans="3:62" x14ac:dyDescent="0.4">
      <c r="C377" s="39"/>
      <c r="D377" s="39"/>
      <c r="E377" s="52"/>
      <c r="F377" s="53"/>
      <c r="G377" s="54"/>
      <c r="H377" s="20"/>
      <c r="I377" s="53"/>
      <c r="J377" s="54"/>
      <c r="K377" s="20"/>
      <c r="L377" s="53"/>
      <c r="M377" s="54"/>
      <c r="N377" s="20"/>
      <c r="O377" s="53"/>
      <c r="P377" s="54"/>
      <c r="Q377" s="20"/>
      <c r="R377" s="53"/>
      <c r="S377" s="54"/>
      <c r="T377" s="20"/>
      <c r="U377" s="53"/>
      <c r="V377" s="54"/>
      <c r="W377" s="20"/>
      <c r="X377" s="53"/>
      <c r="Y377" s="54"/>
      <c r="Z377" s="20"/>
      <c r="AA377" s="53"/>
      <c r="AB377" s="54"/>
      <c r="AC377" s="20"/>
      <c r="AD377" s="53"/>
      <c r="AE377" s="54"/>
      <c r="AF377" s="20"/>
      <c r="AG377" s="53"/>
      <c r="AH377" s="178"/>
      <c r="AI377" s="69"/>
      <c r="AJ377" s="53"/>
      <c r="AK377" s="54"/>
      <c r="AL377" s="20"/>
      <c r="AM377" s="53"/>
      <c r="AN377" s="54"/>
      <c r="AO377" s="69"/>
      <c r="AP377" s="53"/>
      <c r="AQ377" s="54"/>
      <c r="AR377" s="20"/>
      <c r="AS377" s="53"/>
      <c r="AT377" s="178"/>
      <c r="AU377" s="69"/>
      <c r="AV377" s="53"/>
      <c r="AW377" s="54"/>
      <c r="AX377" s="20"/>
      <c r="AY377" s="53"/>
      <c r="AZ377" s="178"/>
      <c r="BA377" s="69"/>
      <c r="BB377" s="53"/>
      <c r="BC377" s="54"/>
      <c r="BD377" s="20"/>
      <c r="BE377" s="53"/>
      <c r="BF377" s="178"/>
      <c r="BG377" s="178"/>
      <c r="BH377" s="178"/>
      <c r="BI377" s="178"/>
      <c r="BJ377" s="178"/>
    </row>
    <row r="378" spans="3:62" x14ac:dyDescent="0.4">
      <c r="C378" s="39"/>
      <c r="D378" s="39"/>
      <c r="E378" s="52"/>
      <c r="F378" s="53"/>
      <c r="G378" s="54"/>
      <c r="H378" s="20"/>
      <c r="I378" s="53"/>
      <c r="J378" s="54"/>
      <c r="K378" s="20"/>
      <c r="L378" s="53"/>
      <c r="M378" s="54"/>
      <c r="N378" s="20"/>
      <c r="O378" s="53"/>
      <c r="P378" s="54"/>
      <c r="Q378" s="20"/>
      <c r="R378" s="53"/>
      <c r="S378" s="54"/>
      <c r="T378" s="20"/>
      <c r="U378" s="53"/>
      <c r="V378" s="54"/>
      <c r="W378" s="20"/>
      <c r="X378" s="53"/>
      <c r="Y378" s="54"/>
      <c r="Z378" s="20"/>
      <c r="AA378" s="53"/>
      <c r="AB378" s="54"/>
      <c r="AC378" s="20"/>
      <c r="AD378" s="53"/>
      <c r="AE378" s="54"/>
      <c r="AF378" s="20"/>
      <c r="AG378" s="53"/>
      <c r="AH378" s="178"/>
      <c r="AI378" s="69"/>
      <c r="AJ378" s="53"/>
      <c r="AK378" s="54"/>
      <c r="AL378" s="20"/>
      <c r="AM378" s="53"/>
      <c r="AN378" s="54"/>
      <c r="AO378" s="69"/>
      <c r="AP378" s="53"/>
      <c r="AQ378" s="54"/>
      <c r="AR378" s="20"/>
      <c r="AS378" s="53"/>
      <c r="AT378" s="178"/>
      <c r="AU378" s="69"/>
      <c r="AV378" s="53"/>
      <c r="AW378" s="54"/>
      <c r="AX378" s="20"/>
      <c r="AY378" s="53"/>
      <c r="AZ378" s="178"/>
      <c r="BA378" s="69"/>
      <c r="BB378" s="53"/>
      <c r="BC378" s="54"/>
      <c r="BD378" s="20"/>
      <c r="BE378" s="53"/>
      <c r="BF378" s="178"/>
      <c r="BG378" s="178"/>
      <c r="BH378" s="178"/>
      <c r="BI378" s="178"/>
      <c r="BJ378" s="178"/>
    </row>
    <row r="379" spans="3:62" x14ac:dyDescent="0.4">
      <c r="C379" s="39"/>
      <c r="D379" s="39"/>
      <c r="E379" s="52"/>
      <c r="F379" s="53"/>
      <c r="G379" s="54"/>
      <c r="H379" s="20"/>
      <c r="I379" s="53"/>
      <c r="J379" s="54"/>
      <c r="K379" s="20"/>
      <c r="L379" s="53"/>
      <c r="M379" s="54"/>
      <c r="N379" s="20"/>
      <c r="O379" s="53"/>
      <c r="P379" s="54"/>
      <c r="Q379" s="20"/>
      <c r="R379" s="53"/>
      <c r="S379" s="54"/>
      <c r="T379" s="20"/>
      <c r="U379" s="53"/>
      <c r="V379" s="54"/>
      <c r="W379" s="20"/>
      <c r="X379" s="53"/>
      <c r="Y379" s="54"/>
      <c r="Z379" s="20"/>
      <c r="AA379" s="53"/>
      <c r="AB379" s="54"/>
      <c r="AC379" s="20"/>
      <c r="AD379" s="53"/>
      <c r="AE379" s="54"/>
      <c r="AF379" s="20"/>
      <c r="AG379" s="53"/>
      <c r="AH379" s="178"/>
      <c r="AI379" s="69"/>
      <c r="AJ379" s="53"/>
      <c r="AK379" s="54"/>
      <c r="AL379" s="20"/>
      <c r="AM379" s="53"/>
      <c r="AN379" s="54"/>
      <c r="AO379" s="69"/>
      <c r="AP379" s="53"/>
      <c r="AQ379" s="54"/>
      <c r="AR379" s="20"/>
      <c r="AS379" s="53"/>
      <c r="AT379" s="178"/>
      <c r="AU379" s="69"/>
      <c r="AV379" s="53"/>
      <c r="AW379" s="54"/>
      <c r="AX379" s="20"/>
      <c r="AY379" s="53"/>
      <c r="AZ379" s="178"/>
      <c r="BA379" s="69"/>
      <c r="BB379" s="53"/>
      <c r="BC379" s="54"/>
      <c r="BD379" s="20"/>
      <c r="BE379" s="53"/>
      <c r="BF379" s="178"/>
      <c r="BG379" s="178"/>
      <c r="BH379" s="178"/>
      <c r="BI379" s="178"/>
      <c r="BJ379" s="178"/>
    </row>
    <row r="380" spans="3:62" x14ac:dyDescent="0.4">
      <c r="AH380" s="178"/>
      <c r="AT380" s="178"/>
      <c r="AZ380" s="178"/>
      <c r="BF380" s="178"/>
      <c r="BG380" s="178"/>
      <c r="BH380" s="178"/>
      <c r="BI380" s="178"/>
      <c r="BJ380" s="178"/>
    </row>
    <row r="381" spans="3:62" x14ac:dyDescent="0.4">
      <c r="AH381" s="178"/>
      <c r="AT381" s="178"/>
      <c r="AZ381" s="178"/>
      <c r="BF381" s="178"/>
      <c r="BG381" s="178"/>
      <c r="BH381" s="178"/>
      <c r="BI381" s="178"/>
      <c r="BJ381" s="178"/>
    </row>
    <row r="382" spans="3:62" x14ac:dyDescent="0.4">
      <c r="AH382" s="178"/>
      <c r="AT382" s="178"/>
      <c r="AZ382" s="178"/>
      <c r="BF382" s="178"/>
      <c r="BG382" s="178"/>
      <c r="BH382" s="178"/>
      <c r="BI382" s="178"/>
      <c r="BJ382" s="178"/>
    </row>
    <row r="383" spans="3:62" x14ac:dyDescent="0.4">
      <c r="AH383" s="178"/>
      <c r="AT383" s="178"/>
      <c r="AZ383" s="178"/>
      <c r="BF383" s="178"/>
      <c r="BG383" s="178"/>
      <c r="BH383" s="178"/>
      <c r="BI383" s="178"/>
      <c r="BJ383" s="178"/>
    </row>
    <row r="384" spans="3:62" x14ac:dyDescent="0.4">
      <c r="AH384" s="178"/>
      <c r="AT384" s="178"/>
      <c r="AZ384" s="178"/>
      <c r="BF384" s="178"/>
      <c r="BG384" s="178"/>
      <c r="BH384" s="178"/>
      <c r="BI384" s="178"/>
      <c r="BJ384" s="178"/>
    </row>
    <row r="385" spans="34:62" x14ac:dyDescent="0.4">
      <c r="AH385" s="178"/>
      <c r="AT385" s="178"/>
      <c r="AZ385" s="178"/>
      <c r="BF385" s="178"/>
      <c r="BG385" s="178"/>
      <c r="BH385" s="178"/>
      <c r="BI385" s="178"/>
      <c r="BJ385" s="178"/>
    </row>
    <row r="386" spans="34:62" x14ac:dyDescent="0.4">
      <c r="AH386" s="178"/>
      <c r="AT386" s="178"/>
      <c r="AZ386" s="178"/>
      <c r="BF386" s="178"/>
      <c r="BG386" s="178"/>
      <c r="BH386" s="178"/>
      <c r="BI386" s="178"/>
      <c r="BJ386" s="178"/>
    </row>
    <row r="387" spans="34:62" x14ac:dyDescent="0.4">
      <c r="AH387" s="178"/>
      <c r="AT387" s="178"/>
      <c r="AZ387" s="178"/>
      <c r="BF387" s="178"/>
      <c r="BG387" s="178"/>
      <c r="BH387" s="178"/>
      <c r="BI387" s="178"/>
      <c r="BJ387" s="178"/>
    </row>
    <row r="388" spans="34:62" x14ac:dyDescent="0.4">
      <c r="AH388" s="178"/>
      <c r="AT388" s="178"/>
      <c r="AZ388" s="178"/>
      <c r="BF388" s="178"/>
      <c r="BG388" s="178"/>
      <c r="BH388" s="178"/>
      <c r="BI388" s="178"/>
      <c r="BJ388" s="178"/>
    </row>
    <row r="389" spans="34:62" x14ac:dyDescent="0.4">
      <c r="AH389" s="178"/>
      <c r="AT389" s="178"/>
      <c r="AZ389" s="178"/>
      <c r="BF389" s="178"/>
      <c r="BG389" s="178"/>
      <c r="BH389" s="178"/>
      <c r="BI389" s="178"/>
      <c r="BJ389" s="178"/>
    </row>
    <row r="390" spans="34:62" x14ac:dyDescent="0.4">
      <c r="AH390" s="178"/>
      <c r="AT390" s="178"/>
      <c r="AZ390" s="178"/>
      <c r="BF390" s="178"/>
      <c r="BG390" s="178"/>
      <c r="BH390" s="178"/>
      <c r="BI390" s="178"/>
      <c r="BJ390" s="178"/>
    </row>
    <row r="391" spans="34:62" x14ac:dyDescent="0.4">
      <c r="AH391" s="178"/>
      <c r="AT391" s="178"/>
      <c r="AZ391" s="178"/>
      <c r="BF391" s="178"/>
      <c r="BG391" s="178"/>
      <c r="BH391" s="178"/>
      <c r="BI391" s="178"/>
      <c r="BJ391" s="178"/>
    </row>
    <row r="392" spans="34:62" x14ac:dyDescent="0.4">
      <c r="AH392" s="178"/>
      <c r="AT392" s="178"/>
      <c r="AZ392" s="178"/>
      <c r="BF392" s="178"/>
      <c r="BG392" s="178"/>
      <c r="BH392" s="178"/>
      <c r="BI392" s="178"/>
      <c r="BJ392" s="178"/>
    </row>
    <row r="393" spans="34:62" x14ac:dyDescent="0.4">
      <c r="AH393" s="178"/>
      <c r="AT393" s="178"/>
      <c r="AZ393" s="178"/>
      <c r="BF393" s="178"/>
      <c r="BG393" s="178"/>
      <c r="BH393" s="178"/>
      <c r="BI393" s="178"/>
      <c r="BJ393" s="178"/>
    </row>
    <row r="394" spans="34:62" x14ac:dyDescent="0.4">
      <c r="AH394" s="178"/>
      <c r="AT394" s="178"/>
      <c r="AZ394" s="178"/>
      <c r="BF394" s="178"/>
      <c r="BG394" s="178"/>
      <c r="BH394" s="178"/>
      <c r="BI394" s="178"/>
      <c r="BJ394" s="178"/>
    </row>
    <row r="395" spans="34:62" x14ac:dyDescent="0.4">
      <c r="AH395" s="178"/>
      <c r="AT395" s="178"/>
      <c r="AZ395" s="178"/>
      <c r="BF395" s="178"/>
      <c r="BG395" s="178"/>
      <c r="BH395" s="178"/>
      <c r="BI395" s="178"/>
      <c r="BJ395" s="178"/>
    </row>
    <row r="396" spans="34:62" x14ac:dyDescent="0.4">
      <c r="AH396" s="178"/>
      <c r="AT396" s="178"/>
      <c r="AZ396" s="178"/>
      <c r="BF396" s="178"/>
      <c r="BG396" s="178"/>
      <c r="BH396" s="178"/>
      <c r="BI396" s="178"/>
      <c r="BJ396" s="178"/>
    </row>
    <row r="397" spans="34:62" x14ac:dyDescent="0.4">
      <c r="AH397" s="178"/>
      <c r="AT397" s="178"/>
      <c r="AZ397" s="178"/>
      <c r="BF397" s="178"/>
      <c r="BG397" s="178"/>
      <c r="BH397" s="178"/>
      <c r="BI397" s="178"/>
      <c r="BJ397" s="178"/>
    </row>
    <row r="398" spans="34:62" x14ac:dyDescent="0.4">
      <c r="AH398" s="178"/>
      <c r="AT398" s="178"/>
      <c r="AZ398" s="178"/>
      <c r="BF398" s="178"/>
      <c r="BG398" s="178"/>
      <c r="BH398" s="178"/>
      <c r="BI398" s="178"/>
      <c r="BJ398" s="178"/>
    </row>
    <row r="399" spans="34:62" x14ac:dyDescent="0.4">
      <c r="AH399" s="178"/>
      <c r="AT399" s="178"/>
      <c r="AZ399" s="178"/>
      <c r="BF399" s="178"/>
      <c r="BG399" s="178"/>
      <c r="BH399" s="178"/>
      <c r="BI399" s="178"/>
      <c r="BJ399" s="178"/>
    </row>
    <row r="400" spans="34:62" x14ac:dyDescent="0.4">
      <c r="AH400" s="178"/>
      <c r="AT400" s="178"/>
      <c r="AZ400" s="178"/>
      <c r="BF400" s="178"/>
      <c r="BG400" s="178"/>
      <c r="BH400" s="178"/>
      <c r="BI400" s="178"/>
      <c r="BJ400" s="178"/>
    </row>
    <row r="401" spans="34:62" x14ac:dyDescent="0.4">
      <c r="AH401" s="178"/>
      <c r="AT401" s="178"/>
      <c r="AZ401" s="178"/>
      <c r="BF401" s="178"/>
      <c r="BG401" s="178"/>
      <c r="BH401" s="178"/>
      <c r="BI401" s="178"/>
      <c r="BJ401" s="178"/>
    </row>
    <row r="402" spans="34:62" x14ac:dyDescent="0.4">
      <c r="AH402" s="178"/>
      <c r="AT402" s="178"/>
      <c r="AZ402" s="178"/>
      <c r="BF402" s="178"/>
      <c r="BG402" s="178"/>
      <c r="BH402" s="178"/>
      <c r="BI402" s="178"/>
      <c r="BJ402" s="178"/>
    </row>
    <row r="403" spans="34:62" x14ac:dyDescent="0.4">
      <c r="AH403" s="178"/>
      <c r="AT403" s="178"/>
      <c r="AZ403" s="178"/>
      <c r="BF403" s="178"/>
      <c r="BG403" s="178"/>
      <c r="BH403" s="178"/>
      <c r="BI403" s="178"/>
      <c r="BJ403" s="178"/>
    </row>
    <row r="404" spans="34:62" x14ac:dyDescent="0.4">
      <c r="AH404" s="178"/>
      <c r="AT404" s="178"/>
      <c r="AZ404" s="178"/>
      <c r="BF404" s="178"/>
      <c r="BG404" s="178"/>
      <c r="BH404" s="178"/>
      <c r="BI404" s="178"/>
      <c r="BJ404" s="178"/>
    </row>
    <row r="405" spans="34:62" x14ac:dyDescent="0.4">
      <c r="AH405" s="178"/>
      <c r="AT405" s="178"/>
      <c r="AZ405" s="178"/>
      <c r="BF405" s="178"/>
      <c r="BG405" s="178"/>
      <c r="BH405" s="178"/>
      <c r="BI405" s="178"/>
      <c r="BJ405" s="178"/>
    </row>
    <row r="406" spans="34:62" x14ac:dyDescent="0.4">
      <c r="AH406" s="178"/>
      <c r="AT406" s="178"/>
      <c r="AZ406" s="178"/>
      <c r="BF406" s="178"/>
      <c r="BG406" s="178"/>
      <c r="BH406" s="178"/>
      <c r="BI406" s="178"/>
      <c r="BJ406" s="178"/>
    </row>
    <row r="407" spans="34:62" x14ac:dyDescent="0.4">
      <c r="AH407" s="178"/>
      <c r="AT407" s="178"/>
      <c r="AZ407" s="178"/>
      <c r="BF407" s="178"/>
      <c r="BG407" s="178"/>
      <c r="BH407" s="178"/>
      <c r="BI407" s="178"/>
      <c r="BJ407" s="178"/>
    </row>
    <row r="408" spans="34:62" x14ac:dyDescent="0.4">
      <c r="AH408" s="178"/>
      <c r="AT408" s="178"/>
      <c r="AZ408" s="178"/>
      <c r="BF408" s="178"/>
      <c r="BG408" s="178"/>
      <c r="BH408" s="178"/>
      <c r="BI408" s="178"/>
      <c r="BJ408" s="178"/>
    </row>
    <row r="409" spans="34:62" x14ac:dyDescent="0.4">
      <c r="AH409" s="178"/>
      <c r="AT409" s="178"/>
      <c r="AZ409" s="178"/>
      <c r="BF409" s="178"/>
      <c r="BG409" s="178"/>
      <c r="BH409" s="178"/>
      <c r="BI409" s="178"/>
      <c r="BJ409" s="178"/>
    </row>
    <row r="410" spans="34:62" x14ac:dyDescent="0.4">
      <c r="AH410" s="178"/>
      <c r="AT410" s="178"/>
      <c r="AZ410" s="178"/>
      <c r="BF410" s="178"/>
      <c r="BG410" s="178"/>
      <c r="BH410" s="178"/>
      <c r="BI410" s="178"/>
      <c r="BJ410" s="178"/>
    </row>
    <row r="411" spans="34:62" x14ac:dyDescent="0.4">
      <c r="AH411" s="178"/>
      <c r="AT411" s="178"/>
      <c r="AZ411" s="178"/>
      <c r="BF411" s="178"/>
      <c r="BG411" s="178"/>
      <c r="BH411" s="178"/>
      <c r="BI411" s="178"/>
      <c r="BJ411" s="178"/>
    </row>
    <row r="412" spans="34:62" x14ac:dyDescent="0.4">
      <c r="AH412" s="178"/>
      <c r="AT412" s="178"/>
      <c r="AZ412" s="178"/>
      <c r="BF412" s="178"/>
      <c r="BG412" s="178"/>
      <c r="BH412" s="178"/>
      <c r="BI412" s="178"/>
      <c r="BJ412" s="178"/>
    </row>
    <row r="413" spans="34:62" x14ac:dyDescent="0.4">
      <c r="AH413" s="178"/>
      <c r="AT413" s="178"/>
      <c r="AZ413" s="178"/>
      <c r="BF413" s="178"/>
      <c r="BG413" s="178"/>
      <c r="BH413" s="178"/>
      <c r="BI413" s="178"/>
      <c r="BJ413" s="178"/>
    </row>
    <row r="414" spans="34:62" x14ac:dyDescent="0.4">
      <c r="AH414" s="178"/>
      <c r="AT414" s="178"/>
      <c r="AZ414" s="178"/>
      <c r="BF414" s="178"/>
      <c r="BG414" s="178"/>
      <c r="BH414" s="178"/>
      <c r="BI414" s="178"/>
      <c r="BJ414" s="178"/>
    </row>
    <row r="415" spans="34:62" x14ac:dyDescent="0.4">
      <c r="AH415" s="178"/>
      <c r="AT415" s="178"/>
      <c r="AZ415" s="178"/>
      <c r="BF415" s="178"/>
      <c r="BG415" s="178"/>
      <c r="BH415" s="178"/>
      <c r="BI415" s="178"/>
      <c r="BJ415" s="178"/>
    </row>
    <row r="416" spans="34:62" x14ac:dyDescent="0.4">
      <c r="AH416" s="178"/>
      <c r="AT416" s="178"/>
      <c r="AZ416" s="178"/>
      <c r="BF416" s="178"/>
      <c r="BG416" s="178"/>
      <c r="BH416" s="178"/>
      <c r="BI416" s="178"/>
      <c r="BJ416" s="178"/>
    </row>
    <row r="417" spans="34:62" x14ac:dyDescent="0.4">
      <c r="AH417" s="178"/>
      <c r="AT417" s="178"/>
      <c r="AZ417" s="178"/>
      <c r="BF417" s="178"/>
      <c r="BG417" s="178"/>
      <c r="BH417" s="178"/>
      <c r="BI417" s="178"/>
      <c r="BJ417" s="178"/>
    </row>
    <row r="418" spans="34:62" x14ac:dyDescent="0.4">
      <c r="AH418" s="178"/>
      <c r="AT418" s="178"/>
      <c r="AZ418" s="178"/>
      <c r="BF418" s="178"/>
      <c r="BG418" s="178"/>
      <c r="BH418" s="178"/>
      <c r="BI418" s="178"/>
      <c r="BJ418" s="178"/>
    </row>
    <row r="419" spans="34:62" x14ac:dyDescent="0.4">
      <c r="AH419" s="178"/>
      <c r="AT419" s="178"/>
      <c r="AZ419" s="178"/>
      <c r="BF419" s="178"/>
      <c r="BG419" s="178"/>
      <c r="BH419" s="178"/>
      <c r="BI419" s="178"/>
      <c r="BJ419" s="178"/>
    </row>
    <row r="420" spans="34:62" x14ac:dyDescent="0.4">
      <c r="AH420" s="178"/>
      <c r="AT420" s="178"/>
      <c r="AZ420" s="178"/>
      <c r="BF420" s="178"/>
      <c r="BG420" s="178"/>
      <c r="BH420" s="178"/>
      <c r="BI420" s="178"/>
      <c r="BJ420" s="178"/>
    </row>
    <row r="421" spans="34:62" x14ac:dyDescent="0.4">
      <c r="AH421" s="178"/>
      <c r="AT421" s="178"/>
      <c r="AZ421" s="178"/>
      <c r="BF421" s="178"/>
      <c r="BG421" s="178"/>
      <c r="BH421" s="178"/>
      <c r="BI421" s="178"/>
      <c r="BJ421" s="178"/>
    </row>
    <row r="422" spans="34:62" x14ac:dyDescent="0.4">
      <c r="AH422" s="178"/>
      <c r="AT422" s="178"/>
      <c r="AZ422" s="178"/>
      <c r="BF422" s="178"/>
      <c r="BG422" s="178"/>
      <c r="BH422" s="178"/>
      <c r="BI422" s="178"/>
      <c r="BJ422" s="178"/>
    </row>
    <row r="423" spans="34:62" x14ac:dyDescent="0.4">
      <c r="AH423" s="178"/>
      <c r="AT423" s="178"/>
      <c r="AZ423" s="178"/>
      <c r="BF423" s="178"/>
      <c r="BG423" s="178"/>
      <c r="BH423" s="178"/>
      <c r="BI423" s="178"/>
      <c r="BJ423" s="178"/>
    </row>
    <row r="424" spans="34:62" x14ac:dyDescent="0.4">
      <c r="AH424" s="178"/>
      <c r="AT424" s="178"/>
      <c r="AZ424" s="178"/>
      <c r="BF424" s="178"/>
      <c r="BG424" s="178"/>
      <c r="BH424" s="178"/>
      <c r="BI424" s="178"/>
      <c r="BJ424" s="178"/>
    </row>
    <row r="425" spans="34:62" x14ac:dyDescent="0.4">
      <c r="AH425" s="178"/>
      <c r="AT425" s="178"/>
      <c r="AZ425" s="178"/>
      <c r="BF425" s="178"/>
      <c r="BG425" s="178"/>
      <c r="BH425" s="178"/>
      <c r="BI425" s="178"/>
      <c r="BJ425" s="178"/>
    </row>
    <row r="426" spans="34:62" x14ac:dyDescent="0.4">
      <c r="AH426" s="178"/>
      <c r="AT426" s="178"/>
      <c r="AZ426" s="178"/>
      <c r="BF426" s="178"/>
      <c r="BG426" s="178"/>
      <c r="BH426" s="178"/>
      <c r="BI426" s="178"/>
      <c r="BJ426" s="178"/>
    </row>
  </sheetData>
  <mergeCells count="4">
    <mergeCell ref="AI1:AM1"/>
    <mergeCell ref="AO1:AS1"/>
    <mergeCell ref="AU1:AY1"/>
    <mergeCell ref="BA1:BE1"/>
  </mergeCells>
  <printOptions horizontalCentered="1"/>
  <pageMargins left="0.31496062992125984" right="0.31496062992125984" top="0.55118110236220474" bottom="0.55118110236220474" header="0.31496062992125984" footer="0.11811023622047245"/>
  <pageSetup paperSize="5" scale="73" fitToHeight="0" orientation="landscape" r:id="rId1"/>
  <headerFooter>
    <oddFooter>&amp;L&amp;Z&amp;F&amp;R&amp;D</oddFooter>
  </headerFooter>
  <rowBreaks count="4" manualBreakCount="4">
    <brk id="106" max="32" man="1"/>
    <brk id="153" max="32" man="1"/>
    <brk id="247" max="32" man="1"/>
    <brk id="291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DistRev&amp;COP&amp;LoadFcst </vt:lpstr>
      <vt:lpstr>'DistRev&amp;COP&amp;LoadFcst '!Print_Area</vt:lpstr>
      <vt:lpstr>'DistRev&amp;COP&amp;LoadFcst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dcterms:created xsi:type="dcterms:W3CDTF">2018-01-22T19:24:01Z</dcterms:created>
  <dcterms:modified xsi:type="dcterms:W3CDTF">2018-01-22T19:26:11Z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